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O:\ИСПОЛНЕНИЕ бюджета ГО 2023\за 2023 год\"/>
    </mc:Choice>
  </mc:AlternateContent>
  <bookViews>
    <workbookView xWindow="0" yWindow="0" windowWidth="22896" windowHeight="9252"/>
  </bookViews>
  <sheets>
    <sheet name="прил.1" sheetId="62" r:id="rId1"/>
    <sheet name="прил.3" sheetId="1" r:id="rId2"/>
    <sheet name="прил.4" sheetId="61" r:id="rId3"/>
    <sheet name="прил.5" sheetId="2" r:id="rId4"/>
    <sheet name="прил.6" sheetId="3" r:id="rId5"/>
    <sheet name="прил.7" sheetId="63" r:id="rId6"/>
    <sheet name="прил.8" sheetId="65" r:id="rId7"/>
  </sheets>
  <calcPr calcId="152511"/>
</workbook>
</file>

<file path=xl/calcChain.xml><?xml version="1.0" encoding="utf-8"?>
<calcChain xmlns="http://schemas.openxmlformats.org/spreadsheetml/2006/main">
  <c r="E27" i="65" l="1"/>
  <c r="G548" i="61" l="1"/>
  <c r="G547" i="61" s="1"/>
  <c r="G543" i="61"/>
  <c r="G542" i="61" s="1"/>
  <c r="G595" i="61"/>
  <c r="G596" i="61"/>
  <c r="G597" i="61"/>
  <c r="I699" i="2"/>
  <c r="G607" i="61"/>
  <c r="G605" i="61"/>
  <c r="I702" i="2"/>
  <c r="I700" i="2"/>
  <c r="E191" i="3"/>
  <c r="E189" i="3"/>
  <c r="G602" i="61"/>
  <c r="G601" i="61"/>
  <c r="I696" i="2"/>
  <c r="I695" i="2"/>
  <c r="E185" i="3"/>
  <c r="E184" i="3"/>
  <c r="E173" i="3"/>
  <c r="E171" i="3"/>
  <c r="I675" i="2"/>
  <c r="I673" i="2"/>
  <c r="G621" i="61"/>
  <c r="G612" i="61" s="1"/>
  <c r="G611" i="61" s="1"/>
  <c r="G610" i="61" s="1"/>
  <c r="G609" i="61" s="1"/>
  <c r="G613" i="61"/>
  <c r="G624" i="61"/>
  <c r="G623" i="61" s="1"/>
  <c r="G625" i="61"/>
  <c r="G557" i="61"/>
  <c r="G556" i="61" s="1"/>
  <c r="G558" i="61"/>
  <c r="I530" i="2"/>
  <c r="I529" i="2" s="1"/>
  <c r="I531" i="2"/>
  <c r="E546" i="3"/>
  <c r="G476" i="61"/>
  <c r="G474" i="61"/>
  <c r="E402" i="3"/>
  <c r="E400" i="3"/>
  <c r="E397" i="3"/>
  <c r="E396" i="3"/>
  <c r="E394" i="3"/>
  <c r="G472" i="61"/>
  <c r="G471" i="61" s="1"/>
  <c r="G469" i="61"/>
  <c r="I633" i="2"/>
  <c r="G460" i="61"/>
  <c r="G458" i="61"/>
  <c r="G456" i="61"/>
  <c r="E199" i="3"/>
  <c r="E197" i="3"/>
  <c r="E195" i="3"/>
  <c r="G447" i="61"/>
  <c r="I599" i="2"/>
  <c r="E270" i="3"/>
  <c r="E268" i="3"/>
  <c r="E267" i="3"/>
  <c r="E265" i="3"/>
  <c r="E263" i="3"/>
  <c r="E261" i="3"/>
  <c r="G619" i="61"/>
  <c r="G617" i="61"/>
  <c r="G615" i="61"/>
  <c r="G590" i="61"/>
  <c r="I411" i="2"/>
  <c r="E474" i="3"/>
  <c r="G585" i="61"/>
  <c r="G583" i="61"/>
  <c r="E468" i="3"/>
  <c r="E466" i="3"/>
  <c r="E506" i="3"/>
  <c r="E504" i="3"/>
  <c r="E502" i="3"/>
  <c r="E500" i="3"/>
  <c r="E498" i="3"/>
  <c r="G346" i="61"/>
  <c r="G344" i="61"/>
  <c r="G342" i="61"/>
  <c r="G340" i="61"/>
  <c r="G338" i="61"/>
  <c r="G349" i="61"/>
  <c r="G348" i="61" s="1"/>
  <c r="E276" i="3"/>
  <c r="E274" i="3"/>
  <c r="G353" i="61"/>
  <c r="G351" i="61"/>
  <c r="I239" i="2"/>
  <c r="E490" i="3"/>
  <c r="E488" i="3"/>
  <c r="G332" i="61"/>
  <c r="G330" i="61"/>
  <c r="G326" i="61"/>
  <c r="G324" i="61"/>
  <c r="E461" i="3"/>
  <c r="E456" i="3"/>
  <c r="G322" i="61"/>
  <c r="E447" i="3"/>
  <c r="I335" i="2"/>
  <c r="G314" i="61"/>
  <c r="E436" i="3"/>
  <c r="E433" i="3"/>
  <c r="E431" i="3"/>
  <c r="I324" i="2"/>
  <c r="I321" i="2"/>
  <c r="I319" i="2"/>
  <c r="E322" i="3"/>
  <c r="E320" i="3"/>
  <c r="G297" i="61"/>
  <c r="G295" i="61"/>
  <c r="G282" i="61"/>
  <c r="G285" i="61"/>
  <c r="G283" i="61"/>
  <c r="I300" i="2"/>
  <c r="I298" i="2"/>
  <c r="E336" i="3"/>
  <c r="E334" i="3"/>
  <c r="I294" i="2"/>
  <c r="I292" i="2"/>
  <c r="I285" i="2"/>
  <c r="I288" i="2"/>
  <c r="I287" i="2" s="1"/>
  <c r="E289" i="3"/>
  <c r="E287" i="3"/>
  <c r="E285" i="3"/>
  <c r="E283" i="3"/>
  <c r="E281" i="3"/>
  <c r="E279" i="3"/>
  <c r="I280" i="2"/>
  <c r="I278" i="2"/>
  <c r="I276" i="2"/>
  <c r="I274" i="2"/>
  <c r="I272" i="2"/>
  <c r="I270" i="2"/>
  <c r="G263" i="61"/>
  <c r="E294" i="3"/>
  <c r="I243" i="2"/>
  <c r="I247" i="2"/>
  <c r="I246" i="2" s="1"/>
  <c r="G184" i="61"/>
  <c r="I133" i="2"/>
  <c r="G203" i="61"/>
  <c r="G202" i="61" s="1"/>
  <c r="G201" i="61" s="1"/>
  <c r="G200" i="61" s="1"/>
  <c r="G198" i="61" s="1"/>
  <c r="G196" i="61"/>
  <c r="G162" i="61"/>
  <c r="G161" i="61" s="1"/>
  <c r="G160" i="61" s="1"/>
  <c r="E355" i="3"/>
  <c r="E354" i="3" s="1"/>
  <c r="E352" i="3"/>
  <c r="E350" i="3"/>
  <c r="G233" i="61"/>
  <c r="G232" i="61" s="1"/>
  <c r="G230" i="61"/>
  <c r="G228" i="61"/>
  <c r="G225" i="61"/>
  <c r="G224" i="61" s="1"/>
  <c r="G222" i="61"/>
  <c r="G220" i="61"/>
  <c r="G218" i="61"/>
  <c r="E258" i="3"/>
  <c r="E257" i="3"/>
  <c r="E255" i="3"/>
  <c r="E253" i="3"/>
  <c r="E251" i="3"/>
  <c r="E248" i="3"/>
  <c r="E246" i="3"/>
  <c r="E245" i="3"/>
  <c r="E244" i="3"/>
  <c r="G216" i="61"/>
  <c r="G214" i="61"/>
  <c r="G213" i="61"/>
  <c r="G212" i="61"/>
  <c r="G209" i="61"/>
  <c r="G208" i="61" s="1"/>
  <c r="G207" i="61"/>
  <c r="G206" i="61" s="1"/>
  <c r="E235" i="3"/>
  <c r="E234" i="3" s="1"/>
  <c r="E233" i="3"/>
  <c r="E232" i="3"/>
  <c r="E229" i="3"/>
  <c r="G204" i="61"/>
  <c r="E526" i="3"/>
  <c r="E524" i="3"/>
  <c r="E521" i="3"/>
  <c r="E519" i="3"/>
  <c r="E517" i="3"/>
  <c r="E515" i="3"/>
  <c r="E513" i="3"/>
  <c r="E511" i="3"/>
  <c r="G194" i="61"/>
  <c r="G192" i="61"/>
  <c r="G190" i="61"/>
  <c r="G188" i="61"/>
  <c r="G186" i="61"/>
  <c r="I161" i="2"/>
  <c r="I237" i="2"/>
  <c r="I228" i="2"/>
  <c r="I215" i="2"/>
  <c r="I210" i="2"/>
  <c r="I208" i="2"/>
  <c r="I204" i="2"/>
  <c r="E589" i="3"/>
  <c r="G183" i="61" l="1"/>
  <c r="G182" i="61" s="1"/>
  <c r="E560" i="3"/>
  <c r="I131" i="2"/>
  <c r="G129" i="61"/>
  <c r="J132" i="2"/>
  <c r="H133" i="61"/>
  <c r="H134" i="61"/>
  <c r="G36" i="61" l="1"/>
  <c r="G33" i="61"/>
  <c r="G32" i="61" s="1"/>
  <c r="E578" i="3"/>
  <c r="E574" i="3"/>
  <c r="E573" i="3"/>
  <c r="G25" i="61"/>
  <c r="E127" i="3"/>
  <c r="E102" i="3"/>
  <c r="I560" i="2"/>
  <c r="E121" i="3"/>
  <c r="I554" i="2"/>
  <c r="G31" i="61" l="1"/>
  <c r="G30" i="61" s="1"/>
  <c r="G505" i="61"/>
  <c r="G500" i="61"/>
  <c r="G497" i="61"/>
  <c r="G492" i="61"/>
  <c r="G490" i="61"/>
  <c r="I544" i="2"/>
  <c r="I542" i="2"/>
  <c r="E67" i="3"/>
  <c r="E70" i="3"/>
  <c r="G483" i="61"/>
  <c r="I534" i="2"/>
  <c r="I494" i="2"/>
  <c r="E81" i="3"/>
  <c r="E80" i="3" s="1"/>
  <c r="E82" i="3"/>
  <c r="G410" i="61"/>
  <c r="I496" i="2"/>
  <c r="G400" i="61"/>
  <c r="G398" i="61"/>
  <c r="E75" i="3"/>
  <c r="E73" i="3"/>
  <c r="E50" i="3"/>
  <c r="E48" i="3"/>
  <c r="E46" i="3"/>
  <c r="G386" i="61"/>
  <c r="G384" i="61"/>
  <c r="G382" i="61"/>
  <c r="G380" i="61"/>
  <c r="G378" i="61"/>
  <c r="G376" i="61"/>
  <c r="G374" i="61"/>
  <c r="G372" i="61"/>
  <c r="I460" i="2"/>
  <c r="I458" i="2"/>
  <c r="I456" i="2"/>
  <c r="I454" i="2"/>
  <c r="I452" i="2"/>
  <c r="E28" i="3"/>
  <c r="E24" i="3"/>
  <c r="E22" i="3"/>
  <c r="E20" i="3"/>
  <c r="E18" i="3"/>
  <c r="I443" i="2"/>
  <c r="I441" i="2"/>
  <c r="I439" i="2"/>
  <c r="I437" i="2"/>
  <c r="E552" i="3" l="1"/>
  <c r="I723" i="2"/>
  <c r="G627" i="61"/>
  <c r="I710" i="2"/>
  <c r="G52" i="61"/>
  <c r="I15" i="63" l="1"/>
  <c r="K15" i="63" l="1"/>
  <c r="K13" i="63"/>
  <c r="D301" i="3" l="1"/>
  <c r="F305" i="3"/>
  <c r="F316" i="3"/>
  <c r="F534" i="3"/>
  <c r="F535" i="3"/>
  <c r="F537" i="3"/>
  <c r="F538" i="3"/>
  <c r="F540" i="3"/>
  <c r="F549" i="3"/>
  <c r="F558" i="3"/>
  <c r="F559" i="3"/>
  <c r="F562" i="3"/>
  <c r="F565" i="3"/>
  <c r="F566" i="3"/>
  <c r="F575" i="3"/>
  <c r="F584" i="3"/>
  <c r="F514" i="3"/>
  <c r="F518" i="3"/>
  <c r="F499" i="3"/>
  <c r="F501" i="3"/>
  <c r="F503" i="3"/>
  <c r="F505" i="3"/>
  <c r="F467" i="3"/>
  <c r="F469" i="3"/>
  <c r="F481" i="3"/>
  <c r="F435" i="3"/>
  <c r="F437" i="3"/>
  <c r="F440" i="3"/>
  <c r="F449" i="3"/>
  <c r="F453" i="3"/>
  <c r="F460" i="3"/>
  <c r="F414" i="3"/>
  <c r="F415" i="3"/>
  <c r="F425" i="3"/>
  <c r="F427" i="3"/>
  <c r="F395" i="3"/>
  <c r="F401" i="3"/>
  <c r="F403" i="3"/>
  <c r="F391" i="3"/>
  <c r="F360" i="3"/>
  <c r="F362" i="3"/>
  <c r="F374" i="3"/>
  <c r="F382" i="3"/>
  <c r="F384" i="3"/>
  <c r="F351" i="3"/>
  <c r="F353" i="3"/>
  <c r="F343" i="3"/>
  <c r="F328" i="3"/>
  <c r="F323" i="3"/>
  <c r="F247" i="3"/>
  <c r="F249" i="3"/>
  <c r="F252" i="3"/>
  <c r="F254" i="3"/>
  <c r="F256" i="3"/>
  <c r="F262" i="3"/>
  <c r="F269" i="3"/>
  <c r="F271" i="3"/>
  <c r="F288" i="3"/>
  <c r="F290" i="3"/>
  <c r="F230" i="3"/>
  <c r="F141" i="3"/>
  <c r="F153" i="3"/>
  <c r="F162" i="3"/>
  <c r="F164" i="3"/>
  <c r="F169" i="3"/>
  <c r="F174" i="3"/>
  <c r="F177" i="3"/>
  <c r="F187" i="3"/>
  <c r="F190" i="3"/>
  <c r="F192" i="3"/>
  <c r="F196" i="3"/>
  <c r="F200" i="3"/>
  <c r="F206" i="3"/>
  <c r="F210" i="3"/>
  <c r="F212" i="3"/>
  <c r="E112" i="3"/>
  <c r="F23" i="3"/>
  <c r="F25" i="3"/>
  <c r="F31" i="3"/>
  <c r="F32" i="3"/>
  <c r="F42" i="3"/>
  <c r="F44" i="3"/>
  <c r="F49" i="3"/>
  <c r="F51" i="3"/>
  <c r="F54" i="3"/>
  <c r="F61" i="3"/>
  <c r="F68" i="3"/>
  <c r="F69" i="3"/>
  <c r="F74" i="3"/>
  <c r="F76" i="3"/>
  <c r="F79" i="3"/>
  <c r="F91" i="3"/>
  <c r="F93" i="3"/>
  <c r="F96" i="3"/>
  <c r="F98" i="3"/>
  <c r="F100" i="3"/>
  <c r="F108" i="3"/>
  <c r="F115" i="3"/>
  <c r="F125" i="3"/>
  <c r="F134" i="3"/>
  <c r="J723" i="2"/>
  <c r="J718" i="2"/>
  <c r="J710" i="2"/>
  <c r="J711" i="2"/>
  <c r="J712" i="2"/>
  <c r="J714" i="2"/>
  <c r="J692" i="2"/>
  <c r="J693" i="2"/>
  <c r="J695" i="2"/>
  <c r="J696" i="2"/>
  <c r="J698" i="2"/>
  <c r="J701" i="2"/>
  <c r="J703" i="2"/>
  <c r="J674" i="2"/>
  <c r="J675" i="2"/>
  <c r="J676" i="2"/>
  <c r="J679" i="2"/>
  <c r="J680" i="2"/>
  <c r="J682" i="2"/>
  <c r="J685" i="2"/>
  <c r="H643" i="2"/>
  <c r="J648" i="2"/>
  <c r="J660" i="2"/>
  <c r="J665" i="2"/>
  <c r="J668" i="2"/>
  <c r="J637" i="2"/>
  <c r="J639" i="2"/>
  <c r="J631" i="2"/>
  <c r="I619" i="2"/>
  <c r="J620" i="2"/>
  <c r="J626" i="2"/>
  <c r="J616" i="2"/>
  <c r="J602" i="2"/>
  <c r="J604" i="2"/>
  <c r="J607" i="2"/>
  <c r="J610" i="2"/>
  <c r="J589" i="2"/>
  <c r="J580" i="2"/>
  <c r="J581" i="2"/>
  <c r="J574" i="2"/>
  <c r="I573" i="2"/>
  <c r="I572" i="2" s="1"/>
  <c r="I571" i="2" s="1"/>
  <c r="I570" i="2" s="1"/>
  <c r="I569" i="2" s="1"/>
  <c r="J567" i="2"/>
  <c r="J558" i="2"/>
  <c r="J535" i="2"/>
  <c r="J536" i="2"/>
  <c r="I498" i="2"/>
  <c r="J505" i="2"/>
  <c r="J507" i="2"/>
  <c r="J510" i="2"/>
  <c r="J512" i="2"/>
  <c r="J514" i="2"/>
  <c r="J518" i="2"/>
  <c r="J521" i="2"/>
  <c r="J459" i="2"/>
  <c r="J461" i="2"/>
  <c r="J466" i="2"/>
  <c r="J468" i="2"/>
  <c r="J471" i="2"/>
  <c r="J473" i="2"/>
  <c r="J478" i="2"/>
  <c r="J483" i="2"/>
  <c r="J485" i="2"/>
  <c r="J488" i="2"/>
  <c r="J442" i="2"/>
  <c r="J444" i="2"/>
  <c r="J421" i="2"/>
  <c r="J428" i="2"/>
  <c r="J430" i="2"/>
  <c r="J404" i="2"/>
  <c r="J406" i="2"/>
  <c r="J394" i="2"/>
  <c r="J365" i="2"/>
  <c r="J367" i="2"/>
  <c r="J369" i="2"/>
  <c r="J371" i="2"/>
  <c r="J348" i="2"/>
  <c r="J337" i="2"/>
  <c r="J341" i="2"/>
  <c r="J323" i="2"/>
  <c r="J325" i="2"/>
  <c r="J328" i="2"/>
  <c r="J315" i="2"/>
  <c r="J307" i="2"/>
  <c r="J301" i="2"/>
  <c r="J286" i="2"/>
  <c r="J279" i="2"/>
  <c r="J281" i="2"/>
  <c r="J265" i="2"/>
  <c r="J254" i="2"/>
  <c r="J217" i="2"/>
  <c r="J219" i="2"/>
  <c r="J222" i="2"/>
  <c r="J224" i="2"/>
  <c r="J226" i="2"/>
  <c r="J205" i="2"/>
  <c r="J185" i="2"/>
  <c r="J189" i="2"/>
  <c r="J160" i="2"/>
  <c r="J162" i="2"/>
  <c r="J174" i="2"/>
  <c r="J150" i="2"/>
  <c r="J152" i="2"/>
  <c r="J129" i="2"/>
  <c r="J130" i="2"/>
  <c r="J123" i="2"/>
  <c r="J125" i="2"/>
  <c r="J112" i="2"/>
  <c r="J113" i="2"/>
  <c r="J93" i="2"/>
  <c r="J77" i="2"/>
  <c r="J78" i="2"/>
  <c r="J82" i="2"/>
  <c r="J87" i="2"/>
  <c r="J90" i="2"/>
  <c r="J91" i="2"/>
  <c r="J59" i="2"/>
  <c r="J54" i="2"/>
  <c r="J46" i="2"/>
  <c r="J47" i="2"/>
  <c r="J34" i="2"/>
  <c r="J23" i="2"/>
  <c r="J25" i="2"/>
  <c r="H614" i="61" l="1"/>
  <c r="H620" i="61"/>
  <c r="H622" i="61"/>
  <c r="H604" i="61"/>
  <c r="H606" i="61"/>
  <c r="H608" i="61"/>
  <c r="H584" i="61"/>
  <c r="H586" i="61"/>
  <c r="H580" i="61"/>
  <c r="H579" i="61"/>
  <c r="H570" i="61"/>
  <c r="H566" i="61"/>
  <c r="H550" i="61"/>
  <c r="H552" i="61"/>
  <c r="H555" i="61"/>
  <c r="H536" i="61"/>
  <c r="H539" i="61"/>
  <c r="H532" i="61"/>
  <c r="H520" i="61"/>
  <c r="H504" i="61"/>
  <c r="H512" i="61"/>
  <c r="H440" i="61"/>
  <c r="H442" i="61"/>
  <c r="H444" i="61"/>
  <c r="H427" i="61"/>
  <c r="H379" i="61"/>
  <c r="H381" i="61"/>
  <c r="H385" i="61"/>
  <c r="H387" i="61"/>
  <c r="H389" i="61"/>
  <c r="H391" i="61"/>
  <c r="H395" i="61"/>
  <c r="H399" i="61"/>
  <c r="H401" i="61"/>
  <c r="H403" i="61"/>
  <c r="H339" i="61"/>
  <c r="H325" i="61"/>
  <c r="H298" i="61"/>
  <c r="H286" i="61"/>
  <c r="H274" i="61"/>
  <c r="H268" i="61"/>
  <c r="H270" i="61"/>
  <c r="H255" i="61"/>
  <c r="H247" i="61"/>
  <c r="H231" i="61"/>
  <c r="H229" i="61"/>
  <c r="H221" i="61"/>
  <c r="H219" i="61"/>
  <c r="H215" i="61"/>
  <c r="H205" i="61"/>
  <c r="H191" i="61"/>
  <c r="H187" i="61"/>
  <c r="H62" i="61"/>
  <c r="H29" i="61"/>
  <c r="H139" i="61" l="1"/>
  <c r="H131" i="61"/>
  <c r="H132" i="61"/>
  <c r="H574" i="61"/>
  <c r="H546" i="61"/>
  <c r="H485" i="61"/>
  <c r="H484" i="61"/>
  <c r="H477" i="61"/>
  <c r="H475" i="61"/>
  <c r="H470" i="61"/>
  <c r="H466" i="61"/>
  <c r="H461" i="61"/>
  <c r="H457" i="61"/>
  <c r="H430" i="61"/>
  <c r="H425" i="61"/>
  <c r="H423" i="61"/>
  <c r="H421" i="61"/>
  <c r="H419" i="61"/>
  <c r="H366" i="61"/>
  <c r="H364" i="61"/>
  <c r="H345" i="61"/>
  <c r="H343" i="61"/>
  <c r="H341" i="61"/>
  <c r="H320" i="61"/>
  <c r="H316" i="61"/>
  <c r="H309" i="61"/>
  <c r="H307" i="61"/>
  <c r="H305" i="61"/>
  <c r="H291" i="61"/>
  <c r="H223" i="61"/>
  <c r="H217" i="61"/>
  <c r="H177" i="61"/>
  <c r="H165" i="61"/>
  <c r="H163" i="61"/>
  <c r="H156" i="61"/>
  <c r="H154" i="61"/>
  <c r="H127" i="61"/>
  <c r="H125" i="61"/>
  <c r="H117" i="61"/>
  <c r="H116" i="61"/>
  <c r="H99" i="61"/>
  <c r="H97" i="61"/>
  <c r="H96" i="61"/>
  <c r="H93" i="61"/>
  <c r="H88" i="61"/>
  <c r="H84" i="61"/>
  <c r="H83" i="61"/>
  <c r="H56" i="61"/>
  <c r="H54" i="61"/>
  <c r="H47" i="61"/>
  <c r="H42" i="61"/>
  <c r="H35" i="61"/>
  <c r="H34" i="61"/>
  <c r="H27" i="61"/>
  <c r="G56" i="1"/>
  <c r="G54" i="1"/>
  <c r="G50" i="1"/>
  <c r="G45" i="1"/>
  <c r="G40" i="1"/>
  <c r="G39" i="1"/>
  <c r="G38" i="1"/>
  <c r="G29" i="1"/>
  <c r="G28" i="1"/>
  <c r="G26" i="1"/>
  <c r="G24" i="1"/>
  <c r="G21" i="1"/>
  <c r="G19" i="1"/>
  <c r="F13" i="62"/>
  <c r="F20" i="61" l="1"/>
  <c r="H20" i="61" s="1"/>
  <c r="D571" i="3"/>
  <c r="F571" i="3" s="1"/>
  <c r="H41" i="2"/>
  <c r="J41" i="2" s="1"/>
  <c r="E16" i="1"/>
  <c r="G16" i="1" s="1"/>
  <c r="D568" i="3" l="1"/>
  <c r="F568" i="3" s="1"/>
  <c r="H131" i="2"/>
  <c r="G133" i="61"/>
  <c r="F133" i="61"/>
  <c r="E25" i="1"/>
  <c r="G25" i="1" s="1"/>
  <c r="E22" i="1"/>
  <c r="G22" i="1" s="1"/>
  <c r="E567" i="3"/>
  <c r="F567" i="3" s="1"/>
  <c r="D567" i="3"/>
  <c r="I92" i="2"/>
  <c r="H92" i="2"/>
  <c r="G98" i="61"/>
  <c r="F98" i="61"/>
  <c r="E211" i="3"/>
  <c r="D211" i="3"/>
  <c r="I681" i="2"/>
  <c r="J681" i="2" s="1"/>
  <c r="H681" i="2"/>
  <c r="E46" i="1"/>
  <c r="G46" i="1" s="1"/>
  <c r="E20" i="1"/>
  <c r="G20" i="1" s="1"/>
  <c r="D589" i="3"/>
  <c r="I33" i="2"/>
  <c r="H33" i="2"/>
  <c r="G61" i="61"/>
  <c r="F61" i="61"/>
  <c r="E133" i="3"/>
  <c r="D133" i="3"/>
  <c r="I566" i="2"/>
  <c r="H566" i="2"/>
  <c r="E43" i="1"/>
  <c r="G43" i="1" s="1"/>
  <c r="E17" i="1"/>
  <c r="G17" i="1" s="1"/>
  <c r="E588" i="3"/>
  <c r="I24" i="2"/>
  <c r="J24" i="2" s="1"/>
  <c r="H24" i="2"/>
  <c r="G28" i="61"/>
  <c r="F28" i="61"/>
  <c r="D578" i="3"/>
  <c r="I713" i="2"/>
  <c r="J713" i="2" s="1"/>
  <c r="H713" i="2"/>
  <c r="E18" i="1"/>
  <c r="G18" i="1" s="1"/>
  <c r="H50" i="2"/>
  <c r="J50" i="2" s="1"/>
  <c r="E577" i="3"/>
  <c r="D573" i="3"/>
  <c r="F573" i="3" s="1"/>
  <c r="I53" i="2"/>
  <c r="H53" i="2"/>
  <c r="F38" i="61"/>
  <c r="H710" i="2"/>
  <c r="F52" i="61"/>
  <c r="H52" i="61" s="1"/>
  <c r="H61" i="61" l="1"/>
  <c r="H28" i="61"/>
  <c r="D577" i="3"/>
  <c r="F578" i="3"/>
  <c r="D588" i="3"/>
  <c r="F588" i="3" s="1"/>
  <c r="F589" i="3"/>
  <c r="F577" i="3"/>
  <c r="F211" i="3"/>
  <c r="F133" i="3"/>
  <c r="J566" i="2"/>
  <c r="J33" i="2"/>
  <c r="J53" i="2"/>
  <c r="J131" i="2"/>
  <c r="J92" i="2"/>
  <c r="H98" i="61"/>
  <c r="G551" i="61"/>
  <c r="H551" i="61" s="1"/>
  <c r="F551" i="61"/>
  <c r="G511" i="61"/>
  <c r="F511" i="61"/>
  <c r="G55" i="61"/>
  <c r="H55" i="61" s="1"/>
  <c r="F55" i="61"/>
  <c r="G41" i="61"/>
  <c r="F41" i="61"/>
  <c r="H511" i="61" l="1"/>
  <c r="H41" i="61"/>
  <c r="D36" i="3"/>
  <c r="F36" i="3" s="1"/>
  <c r="H453" i="2"/>
  <c r="J453" i="2" s="1"/>
  <c r="F373" i="61"/>
  <c r="H373" i="61" s="1"/>
  <c r="D19" i="3"/>
  <c r="F19" i="3" s="1"/>
  <c r="H438" i="2"/>
  <c r="J438" i="2" s="1"/>
  <c r="F360" i="61"/>
  <c r="H360" i="61" s="1"/>
  <c r="D587" i="3" l="1"/>
  <c r="F587" i="3" s="1"/>
  <c r="D586" i="3"/>
  <c r="F586" i="3" s="1"/>
  <c r="H31" i="2"/>
  <c r="J31" i="2" s="1"/>
  <c r="H32" i="2"/>
  <c r="J32" i="2" s="1"/>
  <c r="F59" i="61"/>
  <c r="H59" i="61" s="1"/>
  <c r="F60" i="61"/>
  <c r="H60" i="61" s="1"/>
  <c r="D543" i="3" l="1"/>
  <c r="F543" i="3" s="1"/>
  <c r="D542" i="3"/>
  <c r="F542" i="3" s="1"/>
  <c r="H100" i="2"/>
  <c r="J100" i="2" s="1"/>
  <c r="H99" i="2"/>
  <c r="J99" i="2" s="1"/>
  <c r="F106" i="61"/>
  <c r="H106" i="61" s="1"/>
  <c r="F105" i="61"/>
  <c r="H105" i="61" s="1"/>
  <c r="F599" i="61"/>
  <c r="H599" i="61" s="1"/>
  <c r="F598" i="61"/>
  <c r="H598" i="61" s="1"/>
  <c r="H693" i="2"/>
  <c r="H692" i="2"/>
  <c r="D182" i="3"/>
  <c r="F182" i="3" s="1"/>
  <c r="D181" i="3"/>
  <c r="F181" i="3" s="1"/>
  <c r="D507" i="3"/>
  <c r="F507" i="3" s="1"/>
  <c r="H373" i="2"/>
  <c r="J373" i="2" s="1"/>
  <c r="F347" i="61"/>
  <c r="H347" i="61" s="1"/>
  <c r="E35" i="1"/>
  <c r="G35" i="1" s="1"/>
  <c r="E30" i="1"/>
  <c r="G30" i="1" s="1"/>
  <c r="F213" i="61"/>
  <c r="H213" i="61" s="1"/>
  <c r="H215" i="2"/>
  <c r="J215" i="2" s="1"/>
  <c r="D245" i="3"/>
  <c r="F245" i="3" s="1"/>
  <c r="F352" i="61"/>
  <c r="H352" i="61" s="1"/>
  <c r="H379" i="2"/>
  <c r="J379" i="2" s="1"/>
  <c r="D275" i="3"/>
  <c r="F275" i="3" s="1"/>
  <c r="F260" i="61"/>
  <c r="H260" i="61" s="1"/>
  <c r="H271" i="2"/>
  <c r="J271" i="2" s="1"/>
  <c r="D280" i="3"/>
  <c r="F280" i="3" s="1"/>
  <c r="F171" i="61"/>
  <c r="H171" i="61" s="1"/>
  <c r="H168" i="2"/>
  <c r="J168" i="2" s="1"/>
  <c r="D368" i="3"/>
  <c r="F368" i="3" s="1"/>
  <c r="D131" i="3"/>
  <c r="H564" i="2"/>
  <c r="J564" i="2" s="1"/>
  <c r="F509" i="61"/>
  <c r="H509" i="61" s="1"/>
  <c r="D561" i="3"/>
  <c r="F561" i="3" s="1"/>
  <c r="H86" i="2"/>
  <c r="J86" i="2" s="1"/>
  <c r="F92" i="61"/>
  <c r="H92" i="61" s="1"/>
  <c r="D574" i="3"/>
  <c r="F574" i="3" s="1"/>
  <c r="H711" i="2"/>
  <c r="F53" i="61"/>
  <c r="H53" i="61" s="1"/>
  <c r="E31" i="1"/>
  <c r="G31" i="1" s="1"/>
  <c r="E36" i="1"/>
  <c r="G36" i="1" s="1"/>
  <c r="E34" i="1"/>
  <c r="G34" i="1" s="1"/>
  <c r="D370" i="3"/>
  <c r="F370" i="3" s="1"/>
  <c r="H170" i="2"/>
  <c r="J170" i="2" s="1"/>
  <c r="F173" i="61"/>
  <c r="H173" i="61" s="1"/>
  <c r="D282" i="3"/>
  <c r="F282" i="3" s="1"/>
  <c r="H273" i="2"/>
  <c r="J273" i="2" s="1"/>
  <c r="F262" i="61"/>
  <c r="H262" i="61" s="1"/>
  <c r="D264" i="3"/>
  <c r="F264" i="3" s="1"/>
  <c r="H423" i="2"/>
  <c r="J423" i="2" s="1"/>
  <c r="F616" i="61"/>
  <c r="H616" i="61" s="1"/>
  <c r="D277" i="3"/>
  <c r="F277" i="3" s="1"/>
  <c r="H381" i="2"/>
  <c r="J381" i="2" s="1"/>
  <c r="F354" i="61"/>
  <c r="H354" i="61" s="1"/>
  <c r="D286" i="3"/>
  <c r="F286" i="3" s="1"/>
  <c r="H277" i="2"/>
  <c r="J277" i="2" s="1"/>
  <c r="F266" i="61"/>
  <c r="H266" i="61" s="1"/>
  <c r="D284" i="3"/>
  <c r="F284" i="3" s="1"/>
  <c r="H275" i="2"/>
  <c r="J275" i="2" s="1"/>
  <c r="F264" i="61"/>
  <c r="H264" i="61" s="1"/>
  <c r="D341" i="3" l="1"/>
  <c r="F341" i="3" s="1"/>
  <c r="H299" i="2"/>
  <c r="J299" i="2" s="1"/>
  <c r="F284" i="61"/>
  <c r="H284" i="61" s="1"/>
  <c r="D303" i="3" l="1"/>
  <c r="F303" i="3" s="1"/>
  <c r="H252" i="2"/>
  <c r="J252" i="2" s="1"/>
  <c r="F245" i="61"/>
  <c r="H245" i="61" s="1"/>
  <c r="D313" i="3"/>
  <c r="F313" i="3" s="1"/>
  <c r="H262" i="2"/>
  <c r="J262" i="2" s="1"/>
  <c r="F253" i="61"/>
  <c r="H253" i="61" s="1"/>
  <c r="D295" i="3"/>
  <c r="F295" i="3" s="1"/>
  <c r="H244" i="2"/>
  <c r="J244" i="2" s="1"/>
  <c r="F239" i="61"/>
  <c r="H239" i="61" s="1"/>
  <c r="E33" i="1"/>
  <c r="G33" i="1" s="1"/>
  <c r="D185" i="3" l="1"/>
  <c r="F185" i="3" s="1"/>
  <c r="D184" i="3"/>
  <c r="F184" i="3" s="1"/>
  <c r="H696" i="2"/>
  <c r="H695" i="2"/>
  <c r="F602" i="61"/>
  <c r="H602" i="61" s="1"/>
  <c r="F601" i="61"/>
  <c r="H601" i="61" s="1"/>
  <c r="D104" i="3"/>
  <c r="F104" i="3" s="1"/>
  <c r="H543" i="2"/>
  <c r="J543" i="2" s="1"/>
  <c r="F491" i="61"/>
  <c r="H491" i="61" s="1"/>
  <c r="F487" i="61"/>
  <c r="H487" i="61" s="1"/>
  <c r="H538" i="2"/>
  <c r="J538" i="2" s="1"/>
  <c r="D63" i="3"/>
  <c r="F63" i="3" s="1"/>
  <c r="D58" i="3"/>
  <c r="F58" i="3" s="1"/>
  <c r="H475" i="2"/>
  <c r="J475" i="2" s="1"/>
  <c r="F393" i="61"/>
  <c r="H393" i="61" s="1"/>
  <c r="D71" i="3"/>
  <c r="F71" i="3" s="1"/>
  <c r="H480" i="2"/>
  <c r="J480" i="2" s="1"/>
  <c r="F397" i="61"/>
  <c r="H397" i="61" s="1"/>
  <c r="D111" i="3"/>
  <c r="F111" i="3" s="1"/>
  <c r="H527" i="2"/>
  <c r="J527" i="2" s="1"/>
  <c r="F452" i="61"/>
  <c r="H452" i="61" s="1"/>
  <c r="D47" i="3"/>
  <c r="F47" i="3" s="1"/>
  <c r="H464" i="2"/>
  <c r="J464" i="2" s="1"/>
  <c r="F383" i="61"/>
  <c r="H383" i="61" s="1"/>
  <c r="D38" i="3"/>
  <c r="H455" i="2"/>
  <c r="F375" i="61"/>
  <c r="H375" i="61" s="1"/>
  <c r="E41" i="1"/>
  <c r="G41" i="1" s="1"/>
  <c r="D309" i="3"/>
  <c r="F309" i="3" s="1"/>
  <c r="D308" i="3"/>
  <c r="F308" i="3" s="1"/>
  <c r="H258" i="2"/>
  <c r="J258" i="2" s="1"/>
  <c r="H257" i="2"/>
  <c r="J257" i="2" s="1"/>
  <c r="F250" i="61"/>
  <c r="H250" i="61" s="1"/>
  <c r="F249" i="61"/>
  <c r="H249" i="61" s="1"/>
  <c r="D224" i="3"/>
  <c r="F224" i="3" s="1"/>
  <c r="H72" i="2"/>
  <c r="J72" i="2" s="1"/>
  <c r="F78" i="61"/>
  <c r="H78" i="61" s="1"/>
  <c r="F74" i="61"/>
  <c r="H74" i="61" s="1"/>
  <c r="D220" i="3"/>
  <c r="F220" i="3" s="1"/>
  <c r="H68" i="2"/>
  <c r="J68" i="2" s="1"/>
  <c r="D85" i="3" l="1"/>
  <c r="E84" i="3"/>
  <c r="D83" i="3"/>
  <c r="D82" i="3" s="1"/>
  <c r="H499" i="2"/>
  <c r="H497" i="2"/>
  <c r="F413" i="61"/>
  <c r="H413" i="61" s="1"/>
  <c r="F411" i="61"/>
  <c r="H411" i="61" s="1"/>
  <c r="F83" i="3" l="1"/>
  <c r="D84" i="3"/>
  <c r="F84" i="3" s="1"/>
  <c r="F85" i="3"/>
  <c r="H496" i="2"/>
  <c r="J497" i="2"/>
  <c r="H498" i="2"/>
  <c r="J498" i="2" s="1"/>
  <c r="J499" i="2"/>
  <c r="F82" i="3"/>
  <c r="J496" i="2"/>
  <c r="D156" i="3"/>
  <c r="H596" i="2"/>
  <c r="J596" i="2" s="1"/>
  <c r="F156" i="3" l="1"/>
  <c r="F21" i="62"/>
  <c r="E21" i="62"/>
  <c r="D21" i="62"/>
  <c r="C21" i="62"/>
  <c r="F19" i="62"/>
  <c r="E19" i="62"/>
  <c r="D19" i="62"/>
  <c r="C19" i="62"/>
  <c r="D550" i="3" l="1"/>
  <c r="F550" i="3" s="1"/>
  <c r="H83" i="2"/>
  <c r="J83" i="2" s="1"/>
  <c r="F89" i="61"/>
  <c r="H89" i="61" s="1"/>
  <c r="F434" i="61" l="1"/>
  <c r="H434" i="61" s="1"/>
  <c r="D21" i="3" l="1"/>
  <c r="F21" i="3" s="1"/>
  <c r="H440" i="2"/>
  <c r="F362" i="61"/>
  <c r="D149" i="3"/>
  <c r="F149" i="3" s="1"/>
  <c r="D148" i="3"/>
  <c r="F148" i="3" s="1"/>
  <c r="H656" i="2"/>
  <c r="J656" i="2" s="1"/>
  <c r="H655" i="2"/>
  <c r="J655" i="2" s="1"/>
  <c r="F528" i="61"/>
  <c r="H528" i="61" s="1"/>
  <c r="F527" i="61"/>
  <c r="H527" i="61" s="1"/>
  <c r="H458" i="2"/>
  <c r="H460" i="2"/>
  <c r="F378" i="61"/>
  <c r="H378" i="61" s="1"/>
  <c r="G363" i="61"/>
  <c r="F363" i="61"/>
  <c r="J458" i="2" l="1"/>
  <c r="J460" i="2"/>
  <c r="H654" i="2"/>
  <c r="H363" i="61"/>
  <c r="D146" i="3"/>
  <c r="D145" i="3"/>
  <c r="H653" i="2"/>
  <c r="H652" i="2"/>
  <c r="D143" i="3"/>
  <c r="H650" i="2"/>
  <c r="D139" i="3"/>
  <c r="H646" i="2"/>
  <c r="F518" i="61"/>
  <c r="H518" i="61" s="1"/>
  <c r="F524" i="61"/>
  <c r="H524" i="61" s="1"/>
  <c r="F522" i="61"/>
  <c r="H522" i="61" s="1"/>
  <c r="F525" i="61"/>
  <c r="H525" i="61" s="1"/>
  <c r="D331" i="3"/>
  <c r="F331" i="3" s="1"/>
  <c r="H289" i="2"/>
  <c r="J289" i="2" s="1"/>
  <c r="F276" i="61"/>
  <c r="H276" i="61" s="1"/>
  <c r="D491" i="3" l="1"/>
  <c r="F491" i="3" s="1"/>
  <c r="H357" i="2"/>
  <c r="J357" i="2" s="1"/>
  <c r="F333" i="61"/>
  <c r="H333" i="61" s="1"/>
  <c r="D160" i="3" l="1"/>
  <c r="H600" i="2"/>
  <c r="J600" i="2" s="1"/>
  <c r="F438" i="61"/>
  <c r="H438" i="61" s="1"/>
  <c r="E163" i="3" l="1"/>
  <c r="D163" i="3"/>
  <c r="E161" i="3"/>
  <c r="D161" i="3"/>
  <c r="I603" i="2"/>
  <c r="H603" i="2"/>
  <c r="I601" i="2"/>
  <c r="H601" i="2"/>
  <c r="G441" i="61"/>
  <c r="F441" i="61"/>
  <c r="G439" i="61"/>
  <c r="F439" i="61"/>
  <c r="E92" i="3"/>
  <c r="D92" i="3"/>
  <c r="E90" i="3"/>
  <c r="D90" i="3"/>
  <c r="I506" i="2"/>
  <c r="I495" i="2" s="1"/>
  <c r="H506" i="2"/>
  <c r="I504" i="2"/>
  <c r="H504" i="2"/>
  <c r="G420" i="61"/>
  <c r="F420" i="61"/>
  <c r="G418" i="61"/>
  <c r="F418" i="61"/>
  <c r="E43" i="3"/>
  <c r="D43" i="3"/>
  <c r="E41" i="3"/>
  <c r="D41" i="3"/>
  <c r="F380" i="61"/>
  <c r="H380" i="61" s="1"/>
  <c r="D24" i="3"/>
  <c r="D22" i="3"/>
  <c r="H443" i="2"/>
  <c r="J441" i="2"/>
  <c r="H441" i="2"/>
  <c r="G365" i="61"/>
  <c r="F365" i="61"/>
  <c r="H439" i="61" l="1"/>
  <c r="H441" i="61"/>
  <c r="F24" i="3"/>
  <c r="F161" i="3"/>
  <c r="F163" i="3"/>
  <c r="F41" i="3"/>
  <c r="F43" i="3"/>
  <c r="F92" i="3"/>
  <c r="F22" i="3"/>
  <c r="F90" i="3"/>
  <c r="J504" i="2"/>
  <c r="J603" i="2"/>
  <c r="J506" i="2"/>
  <c r="J601" i="2"/>
  <c r="J443" i="2"/>
  <c r="H365" i="61"/>
  <c r="H420" i="61"/>
  <c r="H418" i="61"/>
  <c r="D89" i="3"/>
  <c r="F89" i="3" s="1"/>
  <c r="H503" i="2"/>
  <c r="J503" i="2" s="1"/>
  <c r="F417" i="61"/>
  <c r="H417" i="61" s="1"/>
  <c r="D158" i="3"/>
  <c r="F158" i="3" s="1"/>
  <c r="H598" i="2"/>
  <c r="J598" i="2" s="1"/>
  <c r="D87" i="3"/>
  <c r="H501" i="2"/>
  <c r="J501" i="2" s="1"/>
  <c r="F436" i="61"/>
  <c r="H436" i="61" s="1"/>
  <c r="F415" i="61"/>
  <c r="F87" i="3" l="1"/>
  <c r="D40" i="3" l="1"/>
  <c r="F40" i="3" s="1"/>
  <c r="H457" i="2"/>
  <c r="J457" i="2" s="1"/>
  <c r="F377" i="61"/>
  <c r="H377" i="61" s="1"/>
  <c r="D531" i="3"/>
  <c r="F531" i="3" s="1"/>
  <c r="H718" i="2"/>
  <c r="F67" i="61"/>
  <c r="H67" i="61" s="1"/>
  <c r="D258" i="3" l="1"/>
  <c r="F258" i="3" s="1"/>
  <c r="H228" i="2"/>
  <c r="J228" i="2" s="1"/>
  <c r="F225" i="61"/>
  <c r="H225" i="61" s="1"/>
  <c r="D198" i="3" l="1"/>
  <c r="H618" i="2"/>
  <c r="F459" i="61"/>
  <c r="H459" i="61" s="1"/>
  <c r="D397" i="3"/>
  <c r="F397" i="3" s="1"/>
  <c r="H633" i="2"/>
  <c r="J633" i="2" s="1"/>
  <c r="F472" i="61"/>
  <c r="H472" i="61" s="1"/>
  <c r="D197" i="3" l="1"/>
  <c r="F198" i="3"/>
  <c r="H617" i="2"/>
  <c r="J618" i="2"/>
  <c r="E330" i="3"/>
  <c r="E329" i="3" s="1"/>
  <c r="D330" i="3"/>
  <c r="F330" i="3" l="1"/>
  <c r="D120" i="3"/>
  <c r="H553" i="2"/>
  <c r="J553" i="2" s="1"/>
  <c r="D64" i="3"/>
  <c r="F64" i="3" s="1"/>
  <c r="H539" i="2"/>
  <c r="J539" i="2" s="1"/>
  <c r="F488" i="61"/>
  <c r="H488" i="61" s="1"/>
  <c r="F499" i="61"/>
  <c r="H499" i="61" s="1"/>
  <c r="H551" i="2" l="1"/>
  <c r="J551" i="2" s="1"/>
  <c r="D118" i="3"/>
  <c r="D113" i="3"/>
  <c r="F113" i="3" s="1"/>
  <c r="H548" i="2"/>
  <c r="J548" i="2" s="1"/>
  <c r="F495" i="61"/>
  <c r="H495" i="61" s="1"/>
  <c r="F497" i="61"/>
  <c r="H497" i="61" s="1"/>
  <c r="C23" i="62" l="1"/>
  <c r="D18" i="62"/>
  <c r="E18" i="62" l="1"/>
  <c r="C18" i="62"/>
  <c r="F18" i="62"/>
  <c r="D457" i="3" l="1"/>
  <c r="F457" i="3" s="1"/>
  <c r="D462" i="3" l="1"/>
  <c r="F462" i="3" s="1"/>
  <c r="H322" i="2" l="1"/>
  <c r="J322" i="2" s="1"/>
  <c r="D434" i="3"/>
  <c r="F434" i="3" s="1"/>
  <c r="D489" i="3"/>
  <c r="F489" i="3" s="1"/>
  <c r="H355" i="2"/>
  <c r="J355" i="2" s="1"/>
  <c r="F331" i="61"/>
  <c r="H331" i="61" s="1"/>
  <c r="F304" i="61"/>
  <c r="H304" i="61" s="1"/>
  <c r="F56" i="3" l="1"/>
  <c r="D172" i="3" l="1"/>
  <c r="F172" i="3" s="1"/>
  <c r="H674" i="2"/>
  <c r="F544" i="61"/>
  <c r="H544" i="61" s="1"/>
  <c r="F519" i="61"/>
  <c r="H519" i="61" s="1"/>
  <c r="H647" i="2"/>
  <c r="J647" i="2" s="1"/>
  <c r="D140" i="3"/>
  <c r="F140" i="3" s="1"/>
  <c r="D525" i="3"/>
  <c r="F525" i="3" s="1"/>
  <c r="H196" i="2"/>
  <c r="J196" i="2" s="1"/>
  <c r="F197" i="61"/>
  <c r="H197" i="61" s="1"/>
  <c r="F193" i="61"/>
  <c r="H193" i="61" s="1"/>
  <c r="H191" i="2"/>
  <c r="J191" i="2" s="1"/>
  <c r="D520" i="3"/>
  <c r="F520" i="3" s="1"/>
  <c r="D516" i="3"/>
  <c r="F516" i="3" s="1"/>
  <c r="H187" i="2"/>
  <c r="J187" i="2" s="1"/>
  <c r="F189" i="61"/>
  <c r="H189" i="61" s="1"/>
  <c r="H645" i="2"/>
  <c r="E138" i="3" l="1"/>
  <c r="F139" i="3"/>
  <c r="I645" i="2"/>
  <c r="J645" i="2" s="1"/>
  <c r="J646" i="2"/>
  <c r="F517" i="61"/>
  <c r="D138" i="3"/>
  <c r="D366" i="3"/>
  <c r="F366" i="3" s="1"/>
  <c r="H166" i="2"/>
  <c r="J166" i="2" s="1"/>
  <c r="F169" i="61"/>
  <c r="H169" i="61" s="1"/>
  <c r="F138" i="3" l="1"/>
  <c r="D410" i="3"/>
  <c r="D408" i="3"/>
  <c r="H108" i="2"/>
  <c r="J108" i="2" s="1"/>
  <c r="H106" i="2"/>
  <c r="J106" i="2" s="1"/>
  <c r="F113" i="61"/>
  <c r="H113" i="61" s="1"/>
  <c r="F111" i="61"/>
  <c r="H111" i="61" s="1"/>
  <c r="D576" i="3"/>
  <c r="F576" i="3" s="1"/>
  <c r="H52" i="2"/>
  <c r="J52" i="2" s="1"/>
  <c r="F40" i="61"/>
  <c r="H40" i="61" s="1"/>
  <c r="E228" i="3"/>
  <c r="D229" i="3"/>
  <c r="I203" i="2"/>
  <c r="H204" i="2"/>
  <c r="D407" i="3" l="1"/>
  <c r="F408" i="3"/>
  <c r="D409" i="3"/>
  <c r="F410" i="3"/>
  <c r="D228" i="3"/>
  <c r="F229" i="3"/>
  <c r="F228" i="3"/>
  <c r="H203" i="2"/>
  <c r="J203" i="2" s="1"/>
  <c r="J204" i="2"/>
  <c r="I359" i="2"/>
  <c r="I354" i="2"/>
  <c r="I356" i="2"/>
  <c r="D299" i="3"/>
  <c r="H248" i="2"/>
  <c r="J248" i="2" s="1"/>
  <c r="F242" i="61"/>
  <c r="H242" i="61" s="1"/>
  <c r="I358" i="2" l="1"/>
  <c r="F199" i="61"/>
  <c r="H199" i="61" s="1"/>
  <c r="H198" i="2"/>
  <c r="J198" i="2" s="1"/>
  <c r="D527" i="3"/>
  <c r="F527" i="3" s="1"/>
  <c r="D225" i="3" l="1"/>
  <c r="F225" i="3" s="1"/>
  <c r="H73" i="2"/>
  <c r="J73" i="2" s="1"/>
  <c r="F79" i="61"/>
  <c r="H79" i="61" s="1"/>
  <c r="D376" i="3" l="1"/>
  <c r="F376" i="3" s="1"/>
  <c r="H176" i="2"/>
  <c r="J176" i="2" s="1"/>
  <c r="F179" i="61"/>
  <c r="H179" i="61" s="1"/>
  <c r="D386" i="3"/>
  <c r="F386" i="3" s="1"/>
  <c r="H154" i="2"/>
  <c r="J154" i="2" s="1"/>
  <c r="F158" i="61"/>
  <c r="H158" i="61" s="1"/>
  <c r="D372" i="3"/>
  <c r="F372" i="3" s="1"/>
  <c r="H172" i="2"/>
  <c r="J172" i="2" s="1"/>
  <c r="F175" i="61"/>
  <c r="H175" i="61" s="1"/>
  <c r="D451" i="3"/>
  <c r="F451" i="3" s="1"/>
  <c r="F318" i="61"/>
  <c r="H318" i="61" s="1"/>
  <c r="H339" i="2"/>
  <c r="J339" i="2" s="1"/>
  <c r="D242" i="3"/>
  <c r="F242" i="3" s="1"/>
  <c r="H144" i="2"/>
  <c r="J144" i="2" s="1"/>
  <c r="F149" i="61"/>
  <c r="H149" i="61" s="1"/>
  <c r="D321" i="3"/>
  <c r="F321" i="3" s="1"/>
  <c r="H313" i="2"/>
  <c r="J313" i="2" s="1"/>
  <c r="F296" i="61"/>
  <c r="H296" i="61" s="1"/>
  <c r="H256" i="2"/>
  <c r="H255" i="2" s="1"/>
  <c r="D355" i="3"/>
  <c r="F355" i="3" s="1"/>
  <c r="H237" i="2"/>
  <c r="F233" i="61"/>
  <c r="H233" i="61" s="1"/>
  <c r="F312" i="61"/>
  <c r="H312" i="61" s="1"/>
  <c r="H332" i="2"/>
  <c r="J332" i="2" s="1"/>
  <c r="D444" i="3"/>
  <c r="F444" i="3" s="1"/>
  <c r="D432" i="3"/>
  <c r="F432" i="3" s="1"/>
  <c r="F302" i="61"/>
  <c r="H302" i="61" s="1"/>
  <c r="H320" i="2"/>
  <c r="J320" i="2" s="1"/>
  <c r="D307" i="3" l="1"/>
  <c r="D306" i="3" s="1"/>
  <c r="D346" i="3"/>
  <c r="F346" i="3" s="1"/>
  <c r="H304" i="2"/>
  <c r="J304" i="2" s="1"/>
  <c r="F288" i="61"/>
  <c r="H288" i="61" s="1"/>
  <c r="D337" i="3" l="1"/>
  <c r="F337" i="3" s="1"/>
  <c r="H295" i="2"/>
  <c r="J295" i="2" s="1"/>
  <c r="F281" i="61"/>
  <c r="H281" i="61" s="1"/>
  <c r="D235" i="3" l="1"/>
  <c r="D233" i="3"/>
  <c r="H210" i="2"/>
  <c r="H208" i="2"/>
  <c r="F204" i="61"/>
  <c r="F209" i="61"/>
  <c r="H209" i="61" s="1"/>
  <c r="F207" i="61"/>
  <c r="H207" i="61" s="1"/>
  <c r="D222" i="3"/>
  <c r="F222" i="3" s="1"/>
  <c r="H70" i="2"/>
  <c r="J70" i="2" s="1"/>
  <c r="F76" i="61"/>
  <c r="H76" i="61" s="1"/>
  <c r="F203" i="61" l="1"/>
  <c r="H204" i="61"/>
  <c r="D232" i="3"/>
  <c r="F233" i="3"/>
  <c r="D234" i="3"/>
  <c r="F235" i="3"/>
  <c r="H209" i="2"/>
  <c r="J210" i="2"/>
  <c r="H207" i="2"/>
  <c r="J208" i="2"/>
  <c r="F16" i="62"/>
  <c r="E16" i="62"/>
  <c r="D16" i="62"/>
  <c r="D13" i="62" s="1"/>
  <c r="D23" i="62" s="1"/>
  <c r="C16" i="62"/>
  <c r="F23" i="62"/>
  <c r="E13" i="62"/>
  <c r="E23" i="62" s="1"/>
  <c r="D433" i="3" l="1"/>
  <c r="J321" i="2"/>
  <c r="H321" i="2"/>
  <c r="G303" i="61"/>
  <c r="F303" i="61"/>
  <c r="F433" i="3" l="1"/>
  <c r="H303" i="61"/>
  <c r="E78" i="3"/>
  <c r="D78" i="3"/>
  <c r="D77" i="3" s="1"/>
  <c r="G402" i="61"/>
  <c r="F402" i="61"/>
  <c r="I487" i="2"/>
  <c r="H487" i="2"/>
  <c r="H486" i="2" s="1"/>
  <c r="H402" i="61" l="1"/>
  <c r="E77" i="3"/>
  <c r="F77" i="3" s="1"/>
  <c r="F78" i="3"/>
  <c r="I486" i="2"/>
  <c r="J486" i="2" s="1"/>
  <c r="J487" i="2"/>
  <c r="D128" i="3"/>
  <c r="F128" i="3" s="1"/>
  <c r="H561" i="2"/>
  <c r="J561" i="2" s="1"/>
  <c r="F506" i="61"/>
  <c r="H506" i="61" s="1"/>
  <c r="E48" i="1"/>
  <c r="G48" i="1" s="1"/>
  <c r="D484" i="3"/>
  <c r="F484" i="3" s="1"/>
  <c r="H388" i="2"/>
  <c r="J388" i="2" s="1"/>
  <c r="F561" i="61"/>
  <c r="H561" i="61" s="1"/>
  <c r="D289" i="3"/>
  <c r="H280" i="2"/>
  <c r="G269" i="61"/>
  <c r="H269" i="61" s="1"/>
  <c r="F269" i="61"/>
  <c r="F289" i="3" l="1"/>
  <c r="J280" i="2"/>
  <c r="H51" i="2"/>
  <c r="J51" i="2" s="1"/>
  <c r="D421" i="3" l="1"/>
  <c r="D419" i="3"/>
  <c r="F419" i="3" s="1"/>
  <c r="D418" i="3"/>
  <c r="H119" i="2"/>
  <c r="H117" i="2"/>
  <c r="F122" i="61"/>
  <c r="H122" i="61" s="1"/>
  <c r="F120" i="61"/>
  <c r="H120" i="61" s="1"/>
  <c r="D217" i="3"/>
  <c r="F217" i="3" s="1"/>
  <c r="H65" i="2"/>
  <c r="J65" i="2" s="1"/>
  <c r="F72" i="61"/>
  <c r="H72" i="61" s="1"/>
  <c r="D420" i="3" l="1"/>
  <c r="F421" i="3"/>
  <c r="H118" i="2"/>
  <c r="J119" i="2"/>
  <c r="H116" i="2"/>
  <c r="J117" i="2"/>
  <c r="D506" i="3"/>
  <c r="D504" i="3"/>
  <c r="I372" i="2"/>
  <c r="H372" i="2"/>
  <c r="I370" i="2"/>
  <c r="H370" i="2"/>
  <c r="H346" i="61"/>
  <c r="F346" i="61"/>
  <c r="F504" i="3" l="1"/>
  <c r="F506" i="3"/>
  <c r="J372" i="2"/>
  <c r="J370" i="2"/>
  <c r="D448" i="3" l="1"/>
  <c r="F448" i="3" s="1"/>
  <c r="H336" i="2"/>
  <c r="F315" i="61"/>
  <c r="D447" i="3" l="1"/>
  <c r="F447" i="3" s="1"/>
  <c r="H335" i="2"/>
  <c r="J335" i="2" s="1"/>
  <c r="J336" i="2"/>
  <c r="F314" i="61"/>
  <c r="H315" i="61"/>
  <c r="D564" i="3"/>
  <c r="F564" i="3" s="1"/>
  <c r="H89" i="2"/>
  <c r="J89" i="2" s="1"/>
  <c r="F95" i="61"/>
  <c r="H95" i="61" s="1"/>
  <c r="E42" i="1" l="1"/>
  <c r="G42" i="1" s="1"/>
  <c r="D296" i="3" l="1"/>
  <c r="F296" i="3" s="1"/>
  <c r="H245" i="2"/>
  <c r="J245" i="2" s="1"/>
  <c r="F240" i="61"/>
  <c r="H240" i="61" s="1"/>
  <c r="D335" i="3" l="1"/>
  <c r="F335" i="3" s="1"/>
  <c r="H293" i="2"/>
  <c r="J293" i="2" s="1"/>
  <c r="F279" i="61"/>
  <c r="H279" i="61" s="1"/>
  <c r="F344" i="61" l="1"/>
  <c r="D28" i="3"/>
  <c r="F28" i="3" s="1"/>
  <c r="H447" i="2"/>
  <c r="J447" i="2" s="1"/>
  <c r="F368" i="61"/>
  <c r="H368" i="61" s="1"/>
  <c r="D548" i="3"/>
  <c r="F548" i="3" s="1"/>
  <c r="H81" i="2"/>
  <c r="J81" i="2" s="1"/>
  <c r="F87" i="61"/>
  <c r="H87" i="61" s="1"/>
  <c r="F39" i="61"/>
  <c r="H39" i="61" s="1"/>
  <c r="H344" i="61" l="1"/>
  <c r="F299" i="3"/>
  <c r="E49" i="1" l="1"/>
  <c r="G49" i="1" s="1"/>
  <c r="I397" i="2"/>
  <c r="H397" i="2"/>
  <c r="H396" i="2" s="1"/>
  <c r="H395" i="2" s="1"/>
  <c r="G573" i="61"/>
  <c r="F573" i="61"/>
  <c r="F572" i="61" s="1"/>
  <c r="F571" i="61" s="1"/>
  <c r="I396" i="2" l="1"/>
  <c r="J397" i="2"/>
  <c r="G572" i="61"/>
  <c r="H573" i="61"/>
  <c r="F493" i="61"/>
  <c r="H493" i="61" s="1"/>
  <c r="H545" i="2"/>
  <c r="J545" i="2" s="1"/>
  <c r="D106" i="3"/>
  <c r="F106" i="3" s="1"/>
  <c r="I395" i="2" l="1"/>
  <c r="J395" i="2" s="1"/>
  <c r="J396" i="2"/>
  <c r="G571" i="61"/>
  <c r="H571" i="61" s="1"/>
  <c r="H572" i="61"/>
  <c r="D173" i="3"/>
  <c r="H675" i="2"/>
  <c r="G545" i="61"/>
  <c r="H545" i="61" s="1"/>
  <c r="F545" i="61"/>
  <c r="E152" i="3"/>
  <c r="D152" i="3"/>
  <c r="G531" i="61"/>
  <c r="H531" i="61" s="1"/>
  <c r="F531" i="61"/>
  <c r="I659" i="2"/>
  <c r="J659" i="2" s="1"/>
  <c r="H659" i="2"/>
  <c r="D127" i="3"/>
  <c r="E126" i="3"/>
  <c r="H560" i="2"/>
  <c r="I559" i="2"/>
  <c r="F505" i="61"/>
  <c r="H505" i="61" s="1"/>
  <c r="D50" i="3"/>
  <c r="I467" i="2"/>
  <c r="H467" i="2"/>
  <c r="F386" i="61"/>
  <c r="H386" i="61" s="1"/>
  <c r="F152" i="3" l="1"/>
  <c r="F173" i="3"/>
  <c r="D126" i="3"/>
  <c r="F126" i="3" s="1"/>
  <c r="F127" i="3"/>
  <c r="F50" i="3"/>
  <c r="H559" i="2"/>
  <c r="J560" i="2"/>
  <c r="J559" i="2"/>
  <c r="J467" i="2"/>
  <c r="D121" i="3"/>
  <c r="F121" i="3" s="1"/>
  <c r="H554" i="2"/>
  <c r="J554" i="2" s="1"/>
  <c r="F500" i="61"/>
  <c r="H500" i="61" s="1"/>
  <c r="D66" i="3"/>
  <c r="F66" i="3" s="1"/>
  <c r="H533" i="2"/>
  <c r="J533" i="2" s="1"/>
  <c r="F482" i="61"/>
  <c r="H482" i="61" s="1"/>
  <c r="E223" i="3"/>
  <c r="D223" i="3"/>
  <c r="I71" i="2"/>
  <c r="H71" i="2"/>
  <c r="G77" i="61"/>
  <c r="H77" i="61" s="1"/>
  <c r="F77" i="61"/>
  <c r="F223" i="3" l="1"/>
  <c r="J71" i="2"/>
  <c r="D151" i="3"/>
  <c r="F151" i="3" s="1"/>
  <c r="H658" i="2"/>
  <c r="J658" i="2" s="1"/>
  <c r="F530" i="61"/>
  <c r="H530" i="61" s="1"/>
  <c r="G529" i="61" l="1"/>
  <c r="H529" i="61" s="1"/>
  <c r="F529" i="61"/>
  <c r="I657" i="2"/>
  <c r="H657" i="2"/>
  <c r="E150" i="3"/>
  <c r="D150" i="3"/>
  <c r="F150" i="3" l="1"/>
  <c r="J657" i="2"/>
  <c r="D474" i="3"/>
  <c r="D472" i="3"/>
  <c r="H411" i="2"/>
  <c r="H409" i="2"/>
  <c r="F588" i="61"/>
  <c r="H588" i="61" s="1"/>
  <c r="F590" i="61"/>
  <c r="H590" i="61" s="1"/>
  <c r="D473" i="3" l="1"/>
  <c r="F474" i="3"/>
  <c r="D471" i="3"/>
  <c r="F472" i="3"/>
  <c r="H410" i="2"/>
  <c r="J411" i="2"/>
  <c r="H408" i="2"/>
  <c r="J409" i="2"/>
  <c r="D294" i="3"/>
  <c r="J243" i="2"/>
  <c r="H243" i="2"/>
  <c r="G238" i="61"/>
  <c r="H238" i="61" s="1"/>
  <c r="F238" i="61"/>
  <c r="D167" i="3"/>
  <c r="F167" i="3" s="1"/>
  <c r="H663" i="2"/>
  <c r="J663" i="2" s="1"/>
  <c r="F534" i="61"/>
  <c r="H534" i="61" s="1"/>
  <c r="F294" i="3" l="1"/>
  <c r="D75" i="3"/>
  <c r="I484" i="2"/>
  <c r="H484" i="2"/>
  <c r="F400" i="61"/>
  <c r="H400" i="61" s="1"/>
  <c r="F75" i="3" l="1"/>
  <c r="J484" i="2"/>
  <c r="F327" i="61"/>
  <c r="H327" i="61" s="1"/>
  <c r="H350" i="2"/>
  <c r="J350" i="2" s="1"/>
  <c r="H345" i="2"/>
  <c r="J345" i="2" s="1"/>
  <c r="F323" i="61"/>
  <c r="H323" i="61" s="1"/>
  <c r="F167" i="61" l="1"/>
  <c r="H164" i="2"/>
  <c r="J164" i="2" s="1"/>
  <c r="D364" i="3"/>
  <c r="F185" i="61" l="1"/>
  <c r="H185" i="61" s="1"/>
  <c r="H183" i="2"/>
  <c r="J183" i="2" s="1"/>
  <c r="D512" i="3"/>
  <c r="F512" i="3" s="1"/>
  <c r="D522" i="3"/>
  <c r="F522" i="3" s="1"/>
  <c r="H193" i="2"/>
  <c r="J193" i="2" s="1"/>
  <c r="F195" i="61"/>
  <c r="H195" i="61" s="1"/>
  <c r="F24" i="61" l="1"/>
  <c r="H24" i="61" s="1"/>
  <c r="H20" i="2"/>
  <c r="J20" i="2" s="1"/>
  <c r="D581" i="3"/>
  <c r="F581" i="3" s="1"/>
  <c r="H278" i="2" l="1"/>
  <c r="J278" i="2" l="1"/>
  <c r="G248" i="61"/>
  <c r="F248" i="61"/>
  <c r="H248" i="61" l="1"/>
  <c r="D180" i="3"/>
  <c r="E180" i="3"/>
  <c r="H691" i="2"/>
  <c r="I691" i="2"/>
  <c r="J691" i="2" s="1"/>
  <c r="F597" i="61"/>
  <c r="H597" i="61"/>
  <c r="F180" i="3" l="1"/>
  <c r="F131" i="3"/>
  <c r="F143" i="3"/>
  <c r="J650" i="2"/>
  <c r="I678" i="2"/>
  <c r="H38" i="61"/>
  <c r="I709" i="2"/>
  <c r="G51" i="61"/>
  <c r="F38" i="3"/>
  <c r="J455" i="2"/>
  <c r="J440" i="2"/>
  <c r="H362" i="61"/>
  <c r="D287" i="3"/>
  <c r="F287" i="3" l="1"/>
  <c r="I708" i="2"/>
  <c r="J709" i="2"/>
  <c r="I677" i="2"/>
  <c r="J677" i="2" s="1"/>
  <c r="J678" i="2"/>
  <c r="G50" i="61"/>
  <c r="D73" i="3"/>
  <c r="D72" i="3" s="1"/>
  <c r="I482" i="2"/>
  <c r="H482" i="2"/>
  <c r="H481" i="2" s="1"/>
  <c r="E72" i="3" l="1"/>
  <c r="F72" i="3" s="1"/>
  <c r="F73" i="3"/>
  <c r="I481" i="2"/>
  <c r="J481" i="2" s="1"/>
  <c r="J482" i="2"/>
  <c r="D123" i="3"/>
  <c r="F123" i="3" s="1"/>
  <c r="H556" i="2"/>
  <c r="J556" i="2" s="1"/>
  <c r="F118" i="3"/>
  <c r="F502" i="61"/>
  <c r="H502" i="61" s="1"/>
  <c r="F410" i="61"/>
  <c r="F412" i="61"/>
  <c r="G412" i="61"/>
  <c r="H410" i="61" l="1"/>
  <c r="H412" i="61"/>
  <c r="F51" i="61"/>
  <c r="H709" i="2"/>
  <c r="H708" i="2" s="1"/>
  <c r="J708" i="2" s="1"/>
  <c r="F50" i="61" l="1"/>
  <c r="H50" i="61" s="1"/>
  <c r="H51" i="61"/>
  <c r="E52" i="1"/>
  <c r="G52" i="1" s="1"/>
  <c r="D191" i="3"/>
  <c r="J702" i="2"/>
  <c r="H702" i="2"/>
  <c r="H607" i="61"/>
  <c r="F607" i="61"/>
  <c r="F191" i="3" l="1"/>
  <c r="D557" i="3"/>
  <c r="F557" i="3" s="1"/>
  <c r="H128" i="2"/>
  <c r="J128" i="2" s="1"/>
  <c r="F130" i="61"/>
  <c r="H130" i="61" s="1"/>
  <c r="E342" i="3"/>
  <c r="D342" i="3"/>
  <c r="H300" i="2"/>
  <c r="F285" i="61"/>
  <c r="H285" i="61" l="1"/>
  <c r="F342" i="3"/>
  <c r="J300" i="2"/>
  <c r="I297" i="2"/>
  <c r="E365" i="3"/>
  <c r="F365" i="3" s="1"/>
  <c r="D365" i="3"/>
  <c r="I165" i="2"/>
  <c r="H165" i="2"/>
  <c r="G168" i="61"/>
  <c r="F168" i="61"/>
  <c r="J165" i="2" l="1"/>
  <c r="H168" i="61"/>
  <c r="D378" i="3"/>
  <c r="F378" i="3" s="1"/>
  <c r="H178" i="2"/>
  <c r="J178" i="2" s="1"/>
  <c r="F181" i="61"/>
  <c r="H181" i="61" s="1"/>
  <c r="H649" i="2"/>
  <c r="D203" i="3"/>
  <c r="F203" i="3" s="1"/>
  <c r="H623" i="2"/>
  <c r="J623" i="2" s="1"/>
  <c r="F463" i="61"/>
  <c r="H463" i="61" s="1"/>
  <c r="G267" i="61" l="1"/>
  <c r="F267" i="61"/>
  <c r="H267" i="61" l="1"/>
  <c r="F26" i="61"/>
  <c r="H26" i="61" s="1"/>
  <c r="H22" i="2"/>
  <c r="J22" i="2" s="1"/>
  <c r="D583" i="3"/>
  <c r="F583" i="3" s="1"/>
  <c r="D209" i="3"/>
  <c r="F209" i="3" s="1"/>
  <c r="H679" i="2"/>
  <c r="H678" i="2" s="1"/>
  <c r="H677" i="2" s="1"/>
  <c r="F549" i="61"/>
  <c r="H549" i="61" s="1"/>
  <c r="E186" i="3" l="1"/>
  <c r="D186" i="3"/>
  <c r="I697" i="2"/>
  <c r="J697" i="2" s="1"/>
  <c r="H697" i="2"/>
  <c r="G603" i="61"/>
  <c r="F603" i="61"/>
  <c r="H603" i="61" l="1"/>
  <c r="F186" i="3"/>
  <c r="F364" i="3"/>
  <c r="H167" i="61"/>
  <c r="E307" i="3" l="1"/>
  <c r="I256" i="2"/>
  <c r="D490" i="3"/>
  <c r="H356" i="2"/>
  <c r="J356" i="2" s="1"/>
  <c r="F332" i="61"/>
  <c r="H332" i="61" l="1"/>
  <c r="F307" i="3"/>
  <c r="E306" i="3"/>
  <c r="F490" i="3"/>
  <c r="J256" i="2"/>
  <c r="I255" i="2"/>
  <c r="D468" i="3"/>
  <c r="D466" i="3"/>
  <c r="I405" i="2"/>
  <c r="H405" i="2"/>
  <c r="F585" i="61"/>
  <c r="H585" i="61" l="1"/>
  <c r="F468" i="3"/>
  <c r="F466" i="3"/>
  <c r="J405" i="2"/>
  <c r="E465" i="3"/>
  <c r="F465" i="3" s="1"/>
  <c r="D465" i="3"/>
  <c r="D477" i="3"/>
  <c r="F477" i="3" s="1"/>
  <c r="H414" i="2"/>
  <c r="J414" i="2" s="1"/>
  <c r="F592" i="61"/>
  <c r="H592" i="61" s="1"/>
  <c r="D502" i="3" l="1"/>
  <c r="D500" i="3"/>
  <c r="D498" i="3"/>
  <c r="I368" i="2"/>
  <c r="H368" i="2"/>
  <c r="I366" i="2"/>
  <c r="J366" i="2" s="1"/>
  <c r="H366" i="2"/>
  <c r="I364" i="2"/>
  <c r="H364" i="2"/>
  <c r="H363" i="2" s="1"/>
  <c r="F502" i="3" l="1"/>
  <c r="F500" i="3"/>
  <c r="D497" i="3"/>
  <c r="D496" i="3" s="1"/>
  <c r="E497" i="3"/>
  <c r="F498" i="3"/>
  <c r="J364" i="2"/>
  <c r="J368" i="2"/>
  <c r="I363" i="2"/>
  <c r="J363" i="2" s="1"/>
  <c r="F497" i="3" l="1"/>
  <c r="E496" i="3"/>
  <c r="F342" i="61"/>
  <c r="F340" i="61"/>
  <c r="F338" i="61"/>
  <c r="H415" i="61"/>
  <c r="H338" i="61" l="1"/>
  <c r="H340" i="61"/>
  <c r="F337" i="61"/>
  <c r="G337" i="61"/>
  <c r="H337" i="61" s="1"/>
  <c r="H342" i="61"/>
  <c r="D266" i="3"/>
  <c r="F266" i="3" s="1"/>
  <c r="H425" i="2"/>
  <c r="J425" i="2" s="1"/>
  <c r="F618" i="61"/>
  <c r="H618" i="61" s="1"/>
  <c r="D119" i="3" l="1"/>
  <c r="I552" i="2"/>
  <c r="H552" i="2"/>
  <c r="F498" i="61"/>
  <c r="E119" i="3" l="1"/>
  <c r="F119" i="3" s="1"/>
  <c r="F120" i="3"/>
  <c r="J552" i="2"/>
  <c r="G498" i="61"/>
  <c r="H498" i="61" s="1"/>
  <c r="F194" i="61"/>
  <c r="F192" i="61"/>
  <c r="I192" i="2"/>
  <c r="H192" i="2"/>
  <c r="I190" i="2"/>
  <c r="H190" i="2"/>
  <c r="D521" i="3"/>
  <c r="G112" i="61"/>
  <c r="G110" i="61"/>
  <c r="I107" i="2"/>
  <c r="I105" i="2"/>
  <c r="F224" i="61"/>
  <c r="H222" i="61"/>
  <c r="F222" i="61"/>
  <c r="F220" i="61"/>
  <c r="H218" i="61"/>
  <c r="F218" i="61"/>
  <c r="I227" i="2"/>
  <c r="H227" i="2"/>
  <c r="I225" i="2"/>
  <c r="H225" i="2"/>
  <c r="I223" i="2"/>
  <c r="H223" i="2"/>
  <c r="I221" i="2"/>
  <c r="H221" i="2"/>
  <c r="F216" i="61"/>
  <c r="H214" i="61"/>
  <c r="F214" i="61"/>
  <c r="F212" i="61"/>
  <c r="I218" i="2"/>
  <c r="H218" i="2"/>
  <c r="I216" i="2"/>
  <c r="H216" i="2"/>
  <c r="I214" i="2"/>
  <c r="H214" i="2"/>
  <c r="G148" i="61"/>
  <c r="F148" i="61"/>
  <c r="F147" i="61" s="1"/>
  <c r="I220" i="2" l="1"/>
  <c r="H148" i="61"/>
  <c r="H192" i="61"/>
  <c r="H212" i="61"/>
  <c r="H194" i="61"/>
  <c r="F521" i="3"/>
  <c r="H220" i="2"/>
  <c r="J190" i="2"/>
  <c r="J216" i="2"/>
  <c r="J223" i="2"/>
  <c r="J221" i="2"/>
  <c r="J214" i="2"/>
  <c r="J218" i="2"/>
  <c r="J225" i="2"/>
  <c r="J192" i="2"/>
  <c r="J227" i="2"/>
  <c r="H213" i="2"/>
  <c r="F211" i="61"/>
  <c r="G211" i="61"/>
  <c r="H211" i="61" s="1"/>
  <c r="H220" i="61"/>
  <c r="H224" i="61"/>
  <c r="H216" i="61"/>
  <c r="G147" i="61"/>
  <c r="H147" i="61" s="1"/>
  <c r="I213" i="2"/>
  <c r="H288" i="2"/>
  <c r="J213" i="2" l="1"/>
  <c r="G210" i="61"/>
  <c r="G517" i="61" l="1"/>
  <c r="D189" i="3"/>
  <c r="D188" i="3" s="1"/>
  <c r="H700" i="2"/>
  <c r="H699" i="2" s="1"/>
  <c r="F605" i="61"/>
  <c r="H605" i="61" l="1"/>
  <c r="H517" i="61"/>
  <c r="E188" i="3"/>
  <c r="F188" i="3" s="1"/>
  <c r="F189" i="3"/>
  <c r="J699" i="2"/>
  <c r="J700" i="2"/>
  <c r="G526" i="61"/>
  <c r="H526" i="61" s="1"/>
  <c r="F526" i="61"/>
  <c r="G521" i="61"/>
  <c r="F521" i="61"/>
  <c r="E147" i="3"/>
  <c r="D147" i="3"/>
  <c r="F146" i="3"/>
  <c r="F145" i="3"/>
  <c r="E142" i="3"/>
  <c r="D142" i="3"/>
  <c r="D155" i="3"/>
  <c r="E155" i="3"/>
  <c r="F155" i="3" s="1"/>
  <c r="J653" i="2"/>
  <c r="J652" i="2"/>
  <c r="F160" i="3"/>
  <c r="H521" i="61" l="1"/>
  <c r="F142" i="3"/>
  <c r="F147" i="3"/>
  <c r="G523" i="61"/>
  <c r="D144" i="3"/>
  <c r="D137" i="3" s="1"/>
  <c r="F523" i="61"/>
  <c r="E144" i="3"/>
  <c r="F376" i="61"/>
  <c r="H376" i="61" s="1"/>
  <c r="F374" i="61"/>
  <c r="H374" i="61" s="1"/>
  <c r="F372" i="61"/>
  <c r="H456" i="2"/>
  <c r="J456" i="2" s="1"/>
  <c r="H454" i="2"/>
  <c r="H452" i="2"/>
  <c r="H523" i="61" l="1"/>
  <c r="E137" i="3"/>
  <c r="F144" i="3"/>
  <c r="J452" i="2"/>
  <c r="J454" i="2"/>
  <c r="H372" i="61"/>
  <c r="I451" i="2"/>
  <c r="J451" i="2" s="1"/>
  <c r="H451" i="2"/>
  <c r="E236" i="3"/>
  <c r="D237" i="3"/>
  <c r="D236" i="3" l="1"/>
  <c r="F236" i="3" s="1"/>
  <c r="F237" i="3"/>
  <c r="F137" i="3"/>
  <c r="H203" i="61"/>
  <c r="I138" i="2"/>
  <c r="H139" i="2"/>
  <c r="F145" i="61"/>
  <c r="F144" i="61" s="1"/>
  <c r="F143" i="61" s="1"/>
  <c r="F142" i="61" s="1"/>
  <c r="H138" i="2" l="1"/>
  <c r="H137" i="2" s="1"/>
  <c r="H136" i="2" s="1"/>
  <c r="H135" i="2" s="1"/>
  <c r="J139" i="2"/>
  <c r="I137" i="2"/>
  <c r="I136" i="2" s="1"/>
  <c r="J138" i="2"/>
  <c r="G144" i="61"/>
  <c r="H145" i="61"/>
  <c r="G589" i="61"/>
  <c r="F589" i="61"/>
  <c r="G587" i="61"/>
  <c r="F587" i="61"/>
  <c r="I410" i="2"/>
  <c r="J410" i="2" s="1"/>
  <c r="I408" i="2"/>
  <c r="J408" i="2" s="1"/>
  <c r="D329" i="3"/>
  <c r="D327" i="3"/>
  <c r="H287" i="2"/>
  <c r="H285" i="2"/>
  <c r="H589" i="61" l="1"/>
  <c r="H587" i="61"/>
  <c r="J137" i="2"/>
  <c r="I135" i="2"/>
  <c r="J135" i="2" s="1"/>
  <c r="J136" i="2"/>
  <c r="G143" i="61"/>
  <c r="H143" i="61" s="1"/>
  <c r="H144" i="61"/>
  <c r="H491" i="2"/>
  <c r="J491" i="2" s="1"/>
  <c r="F406" i="61"/>
  <c r="H406" i="61" s="1"/>
  <c r="G142" i="61" l="1"/>
  <c r="H142" i="61" s="1"/>
  <c r="F46" i="61" l="1"/>
  <c r="H58" i="2"/>
  <c r="I40" i="2"/>
  <c r="H40" i="2"/>
  <c r="J40" i="2" l="1"/>
  <c r="F548" i="61"/>
  <c r="F547" i="61" s="1"/>
  <c r="G465" i="61"/>
  <c r="H465" i="61" s="1"/>
  <c r="F465" i="61"/>
  <c r="I625" i="2"/>
  <c r="H625" i="2"/>
  <c r="G462" i="61"/>
  <c r="F462" i="61"/>
  <c r="I622" i="2"/>
  <c r="H622" i="2"/>
  <c r="F460" i="61"/>
  <c r="F458" i="61"/>
  <c r="F456" i="61"/>
  <c r="H619" i="2"/>
  <c r="J619" i="2" s="1"/>
  <c r="I617" i="2"/>
  <c r="I615" i="2"/>
  <c r="H615" i="2"/>
  <c r="H614" i="2" s="1"/>
  <c r="G600" i="61"/>
  <c r="F600" i="61"/>
  <c r="F596" i="61" s="1"/>
  <c r="I694" i="2"/>
  <c r="J694" i="2" s="1"/>
  <c r="H694" i="2"/>
  <c r="H690" i="2" s="1"/>
  <c r="H689" i="2" s="1"/>
  <c r="G535" i="61"/>
  <c r="F535" i="61"/>
  <c r="G533" i="61"/>
  <c r="F533" i="61"/>
  <c r="I664" i="2"/>
  <c r="J664" i="2" s="1"/>
  <c r="H664" i="2"/>
  <c r="I662" i="2"/>
  <c r="H662" i="2"/>
  <c r="J599" i="2"/>
  <c r="H599" i="2"/>
  <c r="I597" i="2"/>
  <c r="H597" i="2"/>
  <c r="I595" i="2"/>
  <c r="J595" i="2" s="1"/>
  <c r="H595" i="2"/>
  <c r="I654" i="2"/>
  <c r="J654" i="2" s="1"/>
  <c r="I651" i="2"/>
  <c r="J651" i="2" s="1"/>
  <c r="H651" i="2"/>
  <c r="I649" i="2"/>
  <c r="J649" i="2" s="1"/>
  <c r="E183" i="3"/>
  <c r="D183" i="3"/>
  <c r="G443" i="61"/>
  <c r="F443" i="61"/>
  <c r="I606" i="2"/>
  <c r="H606" i="2"/>
  <c r="H605" i="2" s="1"/>
  <c r="E176" i="3"/>
  <c r="D176" i="3"/>
  <c r="D175" i="3" s="1"/>
  <c r="H443" i="61" l="1"/>
  <c r="H535" i="61"/>
  <c r="H600" i="61"/>
  <c r="H548" i="61"/>
  <c r="H533" i="61"/>
  <c r="G516" i="61"/>
  <c r="F516" i="61"/>
  <c r="F183" i="3"/>
  <c r="E175" i="3"/>
  <c r="F175" i="3" s="1"/>
  <c r="F176" i="3"/>
  <c r="J597" i="2"/>
  <c r="J662" i="2"/>
  <c r="J622" i="2"/>
  <c r="J617" i="2"/>
  <c r="I614" i="2"/>
  <c r="J625" i="2"/>
  <c r="J615" i="2"/>
  <c r="I605" i="2"/>
  <c r="J605" i="2" s="1"/>
  <c r="J606" i="2"/>
  <c r="H462" i="61"/>
  <c r="H456" i="61"/>
  <c r="H458" i="61"/>
  <c r="H460" i="61"/>
  <c r="I594" i="2"/>
  <c r="H594" i="2"/>
  <c r="I644" i="2"/>
  <c r="H644" i="2"/>
  <c r="H596" i="61"/>
  <c r="I690" i="2"/>
  <c r="H516" i="61" l="1"/>
  <c r="I689" i="2"/>
  <c r="J689" i="2" s="1"/>
  <c r="J690" i="2"/>
  <c r="J644" i="2"/>
  <c r="J594" i="2"/>
  <c r="D396" i="3" l="1"/>
  <c r="D394" i="3"/>
  <c r="D402" i="3"/>
  <c r="D400" i="3"/>
  <c r="F476" i="61"/>
  <c r="F474" i="61"/>
  <c r="I638" i="2"/>
  <c r="H638" i="2"/>
  <c r="I636" i="2"/>
  <c r="H636" i="2"/>
  <c r="I632" i="2"/>
  <c r="J632" i="2" s="1"/>
  <c r="H632" i="2"/>
  <c r="I630" i="2"/>
  <c r="J630" i="2" s="1"/>
  <c r="H630" i="2"/>
  <c r="F394" i="3" l="1"/>
  <c r="F400" i="3"/>
  <c r="F402" i="3"/>
  <c r="F396" i="3"/>
  <c r="D399" i="3"/>
  <c r="D398" i="3" s="1"/>
  <c r="J636" i="2"/>
  <c r="J638" i="2"/>
  <c r="H635" i="2"/>
  <c r="H634" i="2" s="1"/>
  <c r="H474" i="61"/>
  <c r="H476" i="61"/>
  <c r="E399" i="3"/>
  <c r="I635" i="2"/>
  <c r="F473" i="61"/>
  <c r="G473" i="61"/>
  <c r="E393" i="3"/>
  <c r="D393" i="3"/>
  <c r="F399" i="3" l="1"/>
  <c r="F393" i="3"/>
  <c r="E398" i="3"/>
  <c r="F398" i="3" s="1"/>
  <c r="I634" i="2"/>
  <c r="J634" i="2" s="1"/>
  <c r="J635" i="2"/>
  <c r="H473" i="61"/>
  <c r="E392" i="3"/>
  <c r="D392" i="3"/>
  <c r="I477" i="2"/>
  <c r="H477" i="2"/>
  <c r="G394" i="61"/>
  <c r="F394" i="61"/>
  <c r="F510" i="61"/>
  <c r="H510" i="61" s="1"/>
  <c r="H565" i="2"/>
  <c r="J565" i="2" s="1"/>
  <c r="D132" i="3"/>
  <c r="F132" i="3" s="1"/>
  <c r="G503" i="61"/>
  <c r="H503" i="61" s="1"/>
  <c r="F503" i="61"/>
  <c r="G501" i="61"/>
  <c r="F501" i="61"/>
  <c r="I557" i="2"/>
  <c r="J557" i="2" s="1"/>
  <c r="H557" i="2"/>
  <c r="I555" i="2"/>
  <c r="H555" i="2"/>
  <c r="G429" i="61"/>
  <c r="H429" i="61" s="1"/>
  <c r="F429" i="61"/>
  <c r="I517" i="2"/>
  <c r="H517" i="2"/>
  <c r="F492" i="61"/>
  <c r="H544" i="2"/>
  <c r="G416" i="61"/>
  <c r="F416" i="61"/>
  <c r="G414" i="61"/>
  <c r="F414" i="61"/>
  <c r="I502" i="2"/>
  <c r="J502" i="2" s="1"/>
  <c r="H502" i="2"/>
  <c r="I500" i="2"/>
  <c r="H500" i="2"/>
  <c r="F398" i="61"/>
  <c r="H398" i="61" s="1"/>
  <c r="H394" i="61" l="1"/>
  <c r="H501" i="61"/>
  <c r="F392" i="3"/>
  <c r="J544" i="2"/>
  <c r="J555" i="2"/>
  <c r="J500" i="2"/>
  <c r="J517" i="2"/>
  <c r="J477" i="2"/>
  <c r="H495" i="2"/>
  <c r="H416" i="61"/>
  <c r="H492" i="61"/>
  <c r="H414" i="61"/>
  <c r="J495" i="2"/>
  <c r="H534" i="2"/>
  <c r="G392" i="61"/>
  <c r="F392" i="61"/>
  <c r="G390" i="61"/>
  <c r="F390" i="61"/>
  <c r="G388" i="61"/>
  <c r="F388" i="61"/>
  <c r="I474" i="2"/>
  <c r="H474" i="2"/>
  <c r="I472" i="2"/>
  <c r="H472" i="2"/>
  <c r="I470" i="2"/>
  <c r="H470" i="2"/>
  <c r="F384" i="61"/>
  <c r="H384" i="61" s="1"/>
  <c r="I465" i="2"/>
  <c r="H465" i="2"/>
  <c r="D48" i="3"/>
  <c r="F382" i="61"/>
  <c r="H382" i="61" s="1"/>
  <c r="I463" i="2"/>
  <c r="H463" i="2"/>
  <c r="H579" i="2"/>
  <c r="I579" i="2"/>
  <c r="H388" i="61" l="1"/>
  <c r="H392" i="61"/>
  <c r="H390" i="61"/>
  <c r="I462" i="2"/>
  <c r="F48" i="3"/>
  <c r="J534" i="2"/>
  <c r="H462" i="2"/>
  <c r="J462" i="2" s="1"/>
  <c r="J579" i="2"/>
  <c r="J472" i="2"/>
  <c r="J463" i="2"/>
  <c r="J465" i="2"/>
  <c r="J470" i="2"/>
  <c r="J474" i="2"/>
  <c r="G367" i="61"/>
  <c r="F367" i="61"/>
  <c r="I446" i="2"/>
  <c r="I445" i="2" s="1"/>
  <c r="H446" i="2"/>
  <c r="H445" i="2" s="1"/>
  <c r="G361" i="61"/>
  <c r="F361" i="61"/>
  <c r="G359" i="61"/>
  <c r="F359" i="61"/>
  <c r="H439" i="2"/>
  <c r="H437" i="2"/>
  <c r="G358" i="61" l="1"/>
  <c r="H359" i="61"/>
  <c r="J439" i="2"/>
  <c r="J437" i="2"/>
  <c r="J446" i="2"/>
  <c r="F358" i="61"/>
  <c r="H361" i="61"/>
  <c r="H367" i="61"/>
  <c r="H436" i="2"/>
  <c r="I436" i="2"/>
  <c r="J436" i="2" s="1"/>
  <c r="J445" i="2"/>
  <c r="H358" i="61" l="1"/>
  <c r="G554" i="61"/>
  <c r="F554" i="61"/>
  <c r="F553" i="61" s="1"/>
  <c r="I684" i="2"/>
  <c r="H684" i="2"/>
  <c r="H683" i="2" s="1"/>
  <c r="D554" i="3"/>
  <c r="F554" i="3" s="1"/>
  <c r="D546" i="3"/>
  <c r="F546" i="3" s="1"/>
  <c r="F447" i="61"/>
  <c r="H447" i="61" s="1"/>
  <c r="G405" i="61"/>
  <c r="F405" i="61"/>
  <c r="F404" i="61" s="1"/>
  <c r="I490" i="2"/>
  <c r="H490" i="2"/>
  <c r="H489" i="2" s="1"/>
  <c r="F326" i="61"/>
  <c r="F324" i="61"/>
  <c r="F322" i="61"/>
  <c r="G319" i="61"/>
  <c r="F319" i="61"/>
  <c r="G317" i="61"/>
  <c r="F317" i="61"/>
  <c r="H314" i="61"/>
  <c r="G311" i="61"/>
  <c r="G310" i="61" s="1"/>
  <c r="F311" i="61"/>
  <c r="F310" i="61" s="1"/>
  <c r="G308" i="61"/>
  <c r="F308" i="61"/>
  <c r="G306" i="61"/>
  <c r="F306" i="61"/>
  <c r="G301" i="61"/>
  <c r="F301" i="61"/>
  <c r="I349" i="2"/>
  <c r="J349" i="2" s="1"/>
  <c r="H349" i="2"/>
  <c r="I347" i="2"/>
  <c r="H347" i="2"/>
  <c r="I344" i="2"/>
  <c r="H344" i="2"/>
  <c r="H343" i="2" s="1"/>
  <c r="I340" i="2"/>
  <c r="H340" i="2"/>
  <c r="I338" i="2"/>
  <c r="H338" i="2"/>
  <c r="I331" i="2"/>
  <c r="H331" i="2"/>
  <c r="H330" i="2" s="1"/>
  <c r="H329" i="2" s="1"/>
  <c r="I327" i="2"/>
  <c r="H327" i="2"/>
  <c r="H326" i="2" s="1"/>
  <c r="H324" i="2"/>
  <c r="H319" i="2"/>
  <c r="E455" i="3"/>
  <c r="D456" i="3"/>
  <c r="D455" i="3" s="1"/>
  <c r="E426" i="3"/>
  <c r="D426" i="3"/>
  <c r="E424" i="3"/>
  <c r="D424" i="3"/>
  <c r="E420" i="3"/>
  <c r="F420" i="3" s="1"/>
  <c r="E418" i="3"/>
  <c r="F418" i="3" s="1"/>
  <c r="E413" i="3"/>
  <c r="D413" i="3"/>
  <c r="D412" i="3" s="1"/>
  <c r="D411" i="3" s="1"/>
  <c r="E409" i="3"/>
  <c r="F409" i="3" s="1"/>
  <c r="E407" i="3"/>
  <c r="F407" i="3" s="1"/>
  <c r="I124" i="2"/>
  <c r="H124" i="2"/>
  <c r="I122" i="2"/>
  <c r="H122" i="2"/>
  <c r="I118" i="2"/>
  <c r="J118" i="2" s="1"/>
  <c r="I116" i="2"/>
  <c r="J116" i="2" s="1"/>
  <c r="I111" i="2"/>
  <c r="H111" i="2"/>
  <c r="H107" i="2"/>
  <c r="J107" i="2" s="1"/>
  <c r="H105" i="2"/>
  <c r="J105" i="2" s="1"/>
  <c r="H324" i="61" l="1"/>
  <c r="H301" i="61"/>
  <c r="F321" i="61"/>
  <c r="H554" i="61"/>
  <c r="H326" i="61"/>
  <c r="H405" i="61"/>
  <c r="F426" i="3"/>
  <c r="F424" i="3"/>
  <c r="F456" i="3"/>
  <c r="E412" i="3"/>
  <c r="F413" i="3"/>
  <c r="I683" i="2"/>
  <c r="J683" i="2" s="1"/>
  <c r="J684" i="2"/>
  <c r="I489" i="2"/>
  <c r="J489" i="2" s="1"/>
  <c r="J490" i="2"/>
  <c r="J344" i="2"/>
  <c r="I343" i="2"/>
  <c r="J324" i="2"/>
  <c r="J347" i="2"/>
  <c r="J124" i="2"/>
  <c r="J338" i="2"/>
  <c r="J340" i="2"/>
  <c r="J319" i="2"/>
  <c r="I330" i="2"/>
  <c r="J331" i="2"/>
  <c r="I326" i="2"/>
  <c r="J326" i="2" s="1"/>
  <c r="J327" i="2"/>
  <c r="J111" i="2"/>
  <c r="J122" i="2"/>
  <c r="G321" i="61"/>
  <c r="H319" i="61"/>
  <c r="H322" i="61"/>
  <c r="H317" i="61"/>
  <c r="H306" i="61"/>
  <c r="H311" i="61"/>
  <c r="H308" i="61"/>
  <c r="G404" i="61"/>
  <c r="H404" i="61" s="1"/>
  <c r="G553" i="61"/>
  <c r="H553" i="61" s="1"/>
  <c r="H346" i="2"/>
  <c r="H342" i="2" s="1"/>
  <c r="D417" i="3"/>
  <c r="D416" i="3" s="1"/>
  <c r="I346" i="2"/>
  <c r="D423" i="3"/>
  <c r="D422" i="3" s="1"/>
  <c r="E423" i="3"/>
  <c r="E417" i="3"/>
  <c r="I334" i="2"/>
  <c r="E406" i="3"/>
  <c r="H334" i="2"/>
  <c r="H333" i="2" s="1"/>
  <c r="H318" i="2"/>
  <c r="H317" i="2" s="1"/>
  <c r="D406" i="3"/>
  <c r="I318" i="2"/>
  <c r="E345" i="3"/>
  <c r="D345" i="3"/>
  <c r="D344" i="3" s="1"/>
  <c r="E340" i="3"/>
  <c r="D340" i="3"/>
  <c r="D339" i="3" s="1"/>
  <c r="D336" i="3"/>
  <c r="D334" i="3"/>
  <c r="E327" i="3"/>
  <c r="D326" i="3"/>
  <c r="H298" i="2"/>
  <c r="H303" i="2"/>
  <c r="H302" i="2" s="1"/>
  <c r="I303" i="2"/>
  <c r="F406" i="3" l="1"/>
  <c r="E411" i="3"/>
  <c r="F411" i="3" s="1"/>
  <c r="F412" i="3"/>
  <c r="E416" i="3"/>
  <c r="F416" i="3" s="1"/>
  <c r="F417" i="3"/>
  <c r="E422" i="3"/>
  <c r="F422" i="3" s="1"/>
  <c r="F423" i="3"/>
  <c r="F336" i="3"/>
  <c r="E326" i="3"/>
  <c r="F326" i="3" s="1"/>
  <c r="F327" i="3"/>
  <c r="F334" i="3"/>
  <c r="E344" i="3"/>
  <c r="F344" i="3" s="1"/>
  <c r="F345" i="3"/>
  <c r="E339" i="3"/>
  <c r="F339" i="3" s="1"/>
  <c r="F340" i="3"/>
  <c r="J346" i="2"/>
  <c r="I342" i="2"/>
  <c r="J342" i="2" s="1"/>
  <c r="J343" i="2"/>
  <c r="I333" i="2"/>
  <c r="J333" i="2" s="1"/>
  <c r="J334" i="2"/>
  <c r="J330" i="2"/>
  <c r="I329" i="2"/>
  <c r="J329" i="2" s="1"/>
  <c r="H297" i="2"/>
  <c r="J297" i="2" s="1"/>
  <c r="J296" i="2" s="1"/>
  <c r="J298" i="2"/>
  <c r="I317" i="2"/>
  <c r="J317" i="2" s="1"/>
  <c r="J318" i="2"/>
  <c r="I302" i="2"/>
  <c r="J303" i="2"/>
  <c r="H321" i="61"/>
  <c r="D338" i="3"/>
  <c r="D333" i="3"/>
  <c r="D332" i="3" s="1"/>
  <c r="D325" i="3"/>
  <c r="E333" i="3"/>
  <c r="E332" i="3" s="1"/>
  <c r="E315" i="3"/>
  <c r="D315" i="3"/>
  <c r="D314" i="3" s="1"/>
  <c r="E312" i="3"/>
  <c r="D312" i="3"/>
  <c r="D311" i="3" s="1"/>
  <c r="E304" i="3"/>
  <c r="D304" i="3"/>
  <c r="E302" i="3"/>
  <c r="D302" i="3"/>
  <c r="E298" i="3"/>
  <c r="E297" i="3" s="1"/>
  <c r="D298" i="3"/>
  <c r="D297" i="3" s="1"/>
  <c r="D293" i="3"/>
  <c r="E293" i="3"/>
  <c r="H247" i="2"/>
  <c r="H246" i="2" s="1"/>
  <c r="H251" i="2"/>
  <c r="I251" i="2"/>
  <c r="H253" i="2"/>
  <c r="I253" i="2"/>
  <c r="E301" i="3" l="1"/>
  <c r="F301" i="3" s="1"/>
  <c r="F297" i="3"/>
  <c r="F298" i="3"/>
  <c r="F302" i="3"/>
  <c r="F293" i="3"/>
  <c r="F304" i="3"/>
  <c r="E311" i="3"/>
  <c r="F311" i="3" s="1"/>
  <c r="F312" i="3"/>
  <c r="E314" i="3"/>
  <c r="F314" i="3" s="1"/>
  <c r="F315" i="3"/>
  <c r="F332" i="3"/>
  <c r="F333" i="3"/>
  <c r="E325" i="3"/>
  <c r="F325" i="3" s="1"/>
  <c r="F329" i="3"/>
  <c r="E338" i="3"/>
  <c r="F338" i="3" s="1"/>
  <c r="H250" i="2"/>
  <c r="J253" i="2"/>
  <c r="J302" i="2"/>
  <c r="I296" i="2"/>
  <c r="J251" i="2"/>
  <c r="I250" i="2"/>
  <c r="J246" i="2"/>
  <c r="J247" i="2"/>
  <c r="D292" i="3"/>
  <c r="D310" i="3"/>
  <c r="F306" i="3"/>
  <c r="E292" i="3"/>
  <c r="F292" i="3" s="1"/>
  <c r="E310" i="3" l="1"/>
  <c r="F310" i="3" s="1"/>
  <c r="J255" i="2"/>
  <c r="E300" i="3"/>
  <c r="D300" i="3"/>
  <c r="G37" i="61"/>
  <c r="F37" i="61"/>
  <c r="F36" i="61" s="1"/>
  <c r="E570" i="3"/>
  <c r="D570" i="3"/>
  <c r="F570" i="3" l="1"/>
  <c r="F300" i="3"/>
  <c r="H37" i="61"/>
  <c r="G157" i="61"/>
  <c r="F157" i="61"/>
  <c r="G155" i="61"/>
  <c r="F155" i="61"/>
  <c r="G153" i="61"/>
  <c r="F153" i="61"/>
  <c r="G180" i="61"/>
  <c r="F180" i="61"/>
  <c r="G178" i="61"/>
  <c r="F178" i="61"/>
  <c r="G176" i="61"/>
  <c r="F176" i="61"/>
  <c r="G174" i="61"/>
  <c r="F174" i="61"/>
  <c r="G172" i="61"/>
  <c r="F172" i="61"/>
  <c r="G170" i="61"/>
  <c r="F170" i="61"/>
  <c r="G166" i="61"/>
  <c r="F166" i="61"/>
  <c r="G164" i="61"/>
  <c r="F164" i="61"/>
  <c r="F162" i="61"/>
  <c r="I153" i="2"/>
  <c r="H153" i="2"/>
  <c r="I151" i="2"/>
  <c r="J151" i="2" s="1"/>
  <c r="H151" i="2"/>
  <c r="I149" i="2"/>
  <c r="H149" i="2"/>
  <c r="H148" i="2" s="1"/>
  <c r="I177" i="2"/>
  <c r="J177" i="2" s="1"/>
  <c r="H177" i="2"/>
  <c r="I175" i="2"/>
  <c r="H175" i="2"/>
  <c r="I173" i="2"/>
  <c r="J173" i="2" s="1"/>
  <c r="H173" i="2"/>
  <c r="I171" i="2"/>
  <c r="H171" i="2"/>
  <c r="I169" i="2"/>
  <c r="J169" i="2" s="1"/>
  <c r="H169" i="2"/>
  <c r="I167" i="2"/>
  <c r="H167" i="2"/>
  <c r="I163" i="2"/>
  <c r="J163" i="2" s="1"/>
  <c r="H163" i="2"/>
  <c r="H161" i="2"/>
  <c r="I159" i="2"/>
  <c r="J159" i="2" s="1"/>
  <c r="H159" i="2"/>
  <c r="E377" i="3"/>
  <c r="D377" i="3"/>
  <c r="H162" i="61" l="1"/>
  <c r="F377" i="3"/>
  <c r="J167" i="2"/>
  <c r="J161" i="2"/>
  <c r="J171" i="2"/>
  <c r="J175" i="2"/>
  <c r="I148" i="2"/>
  <c r="J148" i="2" s="1"/>
  <c r="J149" i="2"/>
  <c r="J153" i="2"/>
  <c r="F152" i="61"/>
  <c r="G152" i="61"/>
  <c r="H164" i="61"/>
  <c r="H170" i="61"/>
  <c r="H174" i="61"/>
  <c r="H178" i="61"/>
  <c r="H153" i="61"/>
  <c r="H157" i="61"/>
  <c r="H166" i="61"/>
  <c r="H172" i="61"/>
  <c r="H176" i="61"/>
  <c r="H180" i="61"/>
  <c r="H155" i="61"/>
  <c r="F161" i="61"/>
  <c r="I158" i="2"/>
  <c r="H158" i="2"/>
  <c r="H157" i="2" s="1"/>
  <c r="H161" i="61"/>
  <c r="F198" i="61"/>
  <c r="F196" i="61"/>
  <c r="I197" i="2"/>
  <c r="H197" i="2"/>
  <c r="I195" i="2"/>
  <c r="H195" i="2"/>
  <c r="H190" i="61"/>
  <c r="F190" i="61"/>
  <c r="I188" i="2"/>
  <c r="H188" i="2"/>
  <c r="H188" i="61"/>
  <c r="F188" i="61"/>
  <c r="F186" i="61"/>
  <c r="H184" i="61"/>
  <c r="F184" i="61"/>
  <c r="I186" i="2"/>
  <c r="H186" i="2"/>
  <c r="I184" i="2"/>
  <c r="H184" i="2"/>
  <c r="I182" i="2"/>
  <c r="J182" i="2" s="1"/>
  <c r="H182" i="2"/>
  <c r="D513" i="3"/>
  <c r="F513" i="3"/>
  <c r="H297" i="61"/>
  <c r="F297" i="61"/>
  <c r="H295" i="61"/>
  <c r="F295" i="61"/>
  <c r="I314" i="2"/>
  <c r="H314" i="2"/>
  <c r="I312" i="2"/>
  <c r="H312" i="2"/>
  <c r="H196" i="61" l="1"/>
  <c r="J314" i="2"/>
  <c r="J312" i="2"/>
  <c r="J184" i="2"/>
  <c r="J197" i="2"/>
  <c r="J186" i="2"/>
  <c r="J188" i="2"/>
  <c r="J195" i="2"/>
  <c r="I157" i="2"/>
  <c r="J158" i="2"/>
  <c r="H198" i="61"/>
  <c r="H186" i="61"/>
  <c r="H208" i="61"/>
  <c r="F208" i="61"/>
  <c r="I209" i="2"/>
  <c r="J209" i="2" s="1"/>
  <c r="I207" i="2"/>
  <c r="J207" i="2" s="1"/>
  <c r="F234" i="3"/>
  <c r="F232" i="3"/>
  <c r="E221" i="3"/>
  <c r="D221" i="3"/>
  <c r="E219" i="3"/>
  <c r="D219" i="3"/>
  <c r="I69" i="2"/>
  <c r="H69" i="2"/>
  <c r="I67" i="2"/>
  <c r="H67" i="2"/>
  <c r="F219" i="3" l="1"/>
  <c r="F221" i="3"/>
  <c r="I156" i="2"/>
  <c r="J157" i="2"/>
  <c r="J69" i="2"/>
  <c r="J67" i="2"/>
  <c r="E231" i="3"/>
  <c r="D231" i="3"/>
  <c r="H206" i="2"/>
  <c r="I206" i="2"/>
  <c r="I236" i="2"/>
  <c r="I234" i="2"/>
  <c r="I232" i="2"/>
  <c r="F335" i="61"/>
  <c r="H335" i="61" s="1"/>
  <c r="G334" i="61"/>
  <c r="F330" i="61"/>
  <c r="H360" i="2"/>
  <c r="I353" i="2"/>
  <c r="H354" i="2"/>
  <c r="D494" i="3"/>
  <c r="F494" i="3" s="1"/>
  <c r="H330" i="61" l="1"/>
  <c r="H334" i="61"/>
  <c r="F231" i="3"/>
  <c r="H359" i="2"/>
  <c r="J360" i="2"/>
  <c r="H353" i="2"/>
  <c r="J353" i="2" s="1"/>
  <c r="J354" i="2"/>
  <c r="I231" i="2"/>
  <c r="J206" i="2"/>
  <c r="G227" i="61"/>
  <c r="F334" i="61"/>
  <c r="G329" i="61"/>
  <c r="F232" i="61"/>
  <c r="H232" i="61" s="1"/>
  <c r="F230" i="61"/>
  <c r="H230" i="61" s="1"/>
  <c r="F228" i="61"/>
  <c r="H228" i="61" s="1"/>
  <c r="J236" i="2"/>
  <c r="H236" i="2"/>
  <c r="J234" i="2"/>
  <c r="H234" i="2"/>
  <c r="J232" i="2"/>
  <c r="H232" i="2"/>
  <c r="G265" i="61"/>
  <c r="H265" i="61" s="1"/>
  <c r="F265" i="61"/>
  <c r="F263" i="61"/>
  <c r="G261" i="61"/>
  <c r="H261" i="61" s="1"/>
  <c r="F261" i="61"/>
  <c r="G259" i="61"/>
  <c r="F259" i="61"/>
  <c r="H276" i="2"/>
  <c r="H274" i="2"/>
  <c r="H272" i="2"/>
  <c r="H270" i="2"/>
  <c r="H353" i="61"/>
  <c r="F353" i="61"/>
  <c r="F351" i="61"/>
  <c r="I380" i="2"/>
  <c r="H380" i="2"/>
  <c r="I378" i="2"/>
  <c r="H378" i="2"/>
  <c r="H621" i="61"/>
  <c r="F621" i="61"/>
  <c r="F619" i="61"/>
  <c r="H617" i="61"/>
  <c r="F617" i="61"/>
  <c r="F615" i="61"/>
  <c r="H613" i="61"/>
  <c r="F613" i="61"/>
  <c r="I429" i="2"/>
  <c r="J429" i="2" s="1"/>
  <c r="H429" i="2"/>
  <c r="I427" i="2"/>
  <c r="H427" i="2"/>
  <c r="I424" i="2"/>
  <c r="J424" i="2" s="1"/>
  <c r="H424" i="2"/>
  <c r="I422" i="2"/>
  <c r="H422" i="2"/>
  <c r="I420" i="2"/>
  <c r="J420" i="2" s="1"/>
  <c r="H420" i="2"/>
  <c r="H615" i="61" l="1"/>
  <c r="H351" i="61"/>
  <c r="H263" i="61"/>
  <c r="H329" i="61"/>
  <c r="H619" i="61"/>
  <c r="H259" i="61"/>
  <c r="J380" i="2"/>
  <c r="J422" i="2"/>
  <c r="J427" i="2"/>
  <c r="J378" i="2"/>
  <c r="H358" i="2"/>
  <c r="J358" i="2" s="1"/>
  <c r="J359" i="2"/>
  <c r="J270" i="2"/>
  <c r="J272" i="2"/>
  <c r="J276" i="2"/>
  <c r="J274" i="2"/>
  <c r="H231" i="2"/>
  <c r="F329" i="61"/>
  <c r="F227" i="61"/>
  <c r="H227" i="61" s="1"/>
  <c r="H419" i="2"/>
  <c r="I419" i="2"/>
  <c r="F612" i="61"/>
  <c r="H612" i="61"/>
  <c r="F258" i="61"/>
  <c r="G258" i="61"/>
  <c r="H258" i="61" s="1"/>
  <c r="H269" i="2"/>
  <c r="H268" i="2" s="1"/>
  <c r="I269" i="2"/>
  <c r="H426" i="2"/>
  <c r="I426" i="2"/>
  <c r="E551" i="3"/>
  <c r="D552" i="3"/>
  <c r="I722" i="2"/>
  <c r="H723" i="2"/>
  <c r="H722" i="2" s="1"/>
  <c r="H721" i="2" s="1"/>
  <c r="H720" i="2" s="1"/>
  <c r="H719" i="2" s="1"/>
  <c r="G626" i="61"/>
  <c r="F627" i="61"/>
  <c r="F55" i="1"/>
  <c r="G55" i="1" s="1"/>
  <c r="E55" i="1"/>
  <c r="F626" i="61" l="1"/>
  <c r="F625" i="61" s="1"/>
  <c r="F624" i="61" s="1"/>
  <c r="F623" i="61" s="1"/>
  <c r="H627" i="61"/>
  <c r="H626" i="61"/>
  <c r="D551" i="3"/>
  <c r="F551" i="3" s="1"/>
  <c r="F552" i="3"/>
  <c r="I721" i="2"/>
  <c r="J722" i="2"/>
  <c r="J426" i="2"/>
  <c r="J419" i="2"/>
  <c r="I268" i="2"/>
  <c r="J268" i="2" s="1"/>
  <c r="J269" i="2"/>
  <c r="D519" i="3"/>
  <c r="D517" i="3"/>
  <c r="H625" i="61" l="1"/>
  <c r="F517" i="3"/>
  <c r="F519" i="3"/>
  <c r="I720" i="2"/>
  <c r="J721" i="2"/>
  <c r="D285" i="3"/>
  <c r="D283" i="3"/>
  <c r="D281" i="3"/>
  <c r="D279" i="3"/>
  <c r="D257" i="3"/>
  <c r="H623" i="61" l="1"/>
  <c r="H624" i="61"/>
  <c r="F281" i="3"/>
  <c r="F257" i="3"/>
  <c r="F285" i="3"/>
  <c r="F279" i="3"/>
  <c r="F283" i="3"/>
  <c r="I719" i="2"/>
  <c r="J719" i="2" s="1"/>
  <c r="J720" i="2"/>
  <c r="D278" i="3"/>
  <c r="E278" i="3"/>
  <c r="D248" i="3"/>
  <c r="F248" i="3" l="1"/>
  <c r="F278" i="3"/>
  <c r="I532" i="2"/>
  <c r="H532" i="2"/>
  <c r="J532" i="2" l="1"/>
  <c r="I667" i="2"/>
  <c r="H667" i="2"/>
  <c r="H666" i="2" s="1"/>
  <c r="I666" i="2" l="1"/>
  <c r="J666" i="2" s="1"/>
  <c r="J667" i="2"/>
  <c r="I609" i="2"/>
  <c r="H609" i="2"/>
  <c r="H608" i="2" s="1"/>
  <c r="G538" i="61"/>
  <c r="F538" i="61"/>
  <c r="F537" i="61" s="1"/>
  <c r="E545" i="3"/>
  <c r="D545" i="3"/>
  <c r="I520" i="2"/>
  <c r="H520" i="2"/>
  <c r="H519" i="2" s="1"/>
  <c r="G446" i="61"/>
  <c r="F446" i="61"/>
  <c r="F445" i="61" s="1"/>
  <c r="E553" i="3"/>
  <c r="F553" i="3" s="1"/>
  <c r="D553" i="3"/>
  <c r="I306" i="2"/>
  <c r="H306" i="2"/>
  <c r="H305" i="2" s="1"/>
  <c r="G290" i="61"/>
  <c r="F290" i="61"/>
  <c r="F289" i="61" s="1"/>
  <c r="H446" i="61" l="1"/>
  <c r="H290" i="61"/>
  <c r="H538" i="61"/>
  <c r="F545" i="3"/>
  <c r="I608" i="2"/>
  <c r="J608" i="2" s="1"/>
  <c r="J609" i="2"/>
  <c r="I519" i="2"/>
  <c r="J519" i="2" s="1"/>
  <c r="J520" i="2"/>
  <c r="I305" i="2"/>
  <c r="J305" i="2" s="1"/>
  <c r="J306" i="2"/>
  <c r="G289" i="61"/>
  <c r="H289" i="61" s="1"/>
  <c r="G445" i="61"/>
  <c r="H445" i="61" s="1"/>
  <c r="G537" i="61"/>
  <c r="H537" i="61" s="1"/>
  <c r="F23" i="1"/>
  <c r="I76" i="2"/>
  <c r="I98" i="2"/>
  <c r="I127" i="2"/>
  <c r="I143" i="2"/>
  <c r="I387" i="2"/>
  <c r="I393" i="2"/>
  <c r="I403" i="2"/>
  <c r="I202" i="2"/>
  <c r="I64" i="2"/>
  <c r="I45" i="2"/>
  <c r="I38" i="2"/>
  <c r="I19" i="2"/>
  <c r="F129" i="61"/>
  <c r="F128" i="61" s="1"/>
  <c r="H127" i="2"/>
  <c r="H126" i="2" s="1"/>
  <c r="G464" i="61"/>
  <c r="F464" i="61"/>
  <c r="F455" i="61" s="1"/>
  <c r="I624" i="2"/>
  <c r="J624" i="2" s="1"/>
  <c r="H624" i="2"/>
  <c r="I621" i="2"/>
  <c r="H621" i="2"/>
  <c r="H543" i="61"/>
  <c r="F543" i="61"/>
  <c r="F542" i="61" s="1"/>
  <c r="H673" i="2"/>
  <c r="H672" i="2" s="1"/>
  <c r="G437" i="61"/>
  <c r="H437" i="61" s="1"/>
  <c r="F437" i="61"/>
  <c r="G435" i="61"/>
  <c r="F435" i="61"/>
  <c r="G433" i="61"/>
  <c r="H433" i="61" s="1"/>
  <c r="F433" i="61"/>
  <c r="G455" i="61" l="1"/>
  <c r="H464" i="61"/>
  <c r="H435" i="61"/>
  <c r="I672" i="2"/>
  <c r="J672" i="2" s="1"/>
  <c r="J673" i="2"/>
  <c r="J621" i="2"/>
  <c r="I386" i="2"/>
  <c r="I402" i="2"/>
  <c r="I391" i="2"/>
  <c r="I142" i="2"/>
  <c r="I44" i="2"/>
  <c r="I126" i="2"/>
  <c r="J126" i="2" s="1"/>
  <c r="J127" i="2"/>
  <c r="I95" i="2"/>
  <c r="I75" i="2"/>
  <c r="I63" i="2"/>
  <c r="I37" i="2"/>
  <c r="H129" i="61"/>
  <c r="H542" i="61"/>
  <c r="G128" i="61"/>
  <c r="H128" i="61" s="1"/>
  <c r="G432" i="61"/>
  <c r="H432" i="61" s="1"/>
  <c r="F432" i="61"/>
  <c r="H613" i="2"/>
  <c r="H612" i="2" s="1"/>
  <c r="H147" i="2"/>
  <c r="I147" i="2"/>
  <c r="I97" i="2"/>
  <c r="I385" i="2"/>
  <c r="I392" i="2"/>
  <c r="I39" i="2"/>
  <c r="H661" i="2"/>
  <c r="I661" i="2"/>
  <c r="H593" i="2"/>
  <c r="J661" i="2" l="1"/>
  <c r="I643" i="2"/>
  <c r="I613" i="2"/>
  <c r="I612" i="2" s="1"/>
  <c r="J612" i="2" s="1"/>
  <c r="J614" i="2"/>
  <c r="I384" i="2"/>
  <c r="I390" i="2"/>
  <c r="I362" i="2"/>
  <c r="I146" i="2"/>
  <c r="J147" i="2"/>
  <c r="I141" i="2"/>
  <c r="I96" i="2"/>
  <c r="I688" i="2"/>
  <c r="I593" i="2"/>
  <c r="G126" i="61"/>
  <c r="F126" i="61"/>
  <c r="G124" i="61"/>
  <c r="F124" i="61"/>
  <c r="G121" i="61"/>
  <c r="F121" i="61"/>
  <c r="G119" i="61"/>
  <c r="F119" i="61"/>
  <c r="G115" i="61"/>
  <c r="F115" i="61"/>
  <c r="F112" i="61"/>
  <c r="H112" i="61" s="1"/>
  <c r="F110" i="61"/>
  <c r="H110" i="61" s="1"/>
  <c r="I110" i="2"/>
  <c r="H110" i="2"/>
  <c r="H109" i="2" s="1"/>
  <c r="D526" i="3"/>
  <c r="D524" i="3"/>
  <c r="F471" i="61"/>
  <c r="F469" i="61"/>
  <c r="G138" i="61"/>
  <c r="F138" i="61"/>
  <c r="I588" i="2"/>
  <c r="H588" i="2"/>
  <c r="H587" i="2" s="1"/>
  <c r="H121" i="61" l="1"/>
  <c r="F524" i="3"/>
  <c r="F526" i="3"/>
  <c r="I687" i="2"/>
  <c r="J688" i="2"/>
  <c r="I642" i="2"/>
  <c r="J613" i="2"/>
  <c r="I592" i="2"/>
  <c r="J593" i="2"/>
  <c r="I587" i="2"/>
  <c r="J588" i="2"/>
  <c r="I383" i="2"/>
  <c r="I389" i="2"/>
  <c r="I361" i="2"/>
  <c r="I145" i="2"/>
  <c r="I140" i="2"/>
  <c r="I109" i="2"/>
  <c r="J109" i="2" s="1"/>
  <c r="J110" i="2"/>
  <c r="H119" i="61"/>
  <c r="H124" i="61"/>
  <c r="H138" i="61"/>
  <c r="H471" i="61"/>
  <c r="H469" i="61"/>
  <c r="H115" i="61"/>
  <c r="H126" i="61"/>
  <c r="I181" i="2"/>
  <c r="H181" i="2"/>
  <c r="F183" i="61"/>
  <c r="H183" i="61" s="1"/>
  <c r="H121" i="2"/>
  <c r="H120" i="2" s="1"/>
  <c r="F123" i="61"/>
  <c r="G123" i="61"/>
  <c r="H123" i="61" s="1"/>
  <c r="H115" i="2"/>
  <c r="H114" i="2" s="1"/>
  <c r="I121" i="2"/>
  <c r="D523" i="3"/>
  <c r="I115" i="2"/>
  <c r="I104" i="2"/>
  <c r="I103" i="2"/>
  <c r="H629" i="2"/>
  <c r="H628" i="2" s="1"/>
  <c r="E523" i="3"/>
  <c r="F523" i="3" s="1"/>
  <c r="H194" i="2"/>
  <c r="I629" i="2"/>
  <c r="I194" i="2"/>
  <c r="H104" i="2"/>
  <c r="H103" i="2"/>
  <c r="I686" i="2" l="1"/>
  <c r="J686" i="2" s="1"/>
  <c r="J687" i="2"/>
  <c r="I641" i="2"/>
  <c r="I628" i="2"/>
  <c r="J628" i="2" s="1"/>
  <c r="J629" i="2"/>
  <c r="I591" i="2"/>
  <c r="I586" i="2"/>
  <c r="J587" i="2"/>
  <c r="J181" i="2"/>
  <c r="J194" i="2"/>
  <c r="I134" i="2"/>
  <c r="J103" i="2"/>
  <c r="J104" i="2"/>
  <c r="I120" i="2"/>
  <c r="J120" i="2" s="1"/>
  <c r="J121" i="2"/>
  <c r="I114" i="2"/>
  <c r="J114" i="2" s="1"/>
  <c r="J115" i="2"/>
  <c r="H180" i="2"/>
  <c r="H179" i="2" s="1"/>
  <c r="I180" i="2"/>
  <c r="H102" i="2"/>
  <c r="I585" i="2" l="1"/>
  <c r="I179" i="2"/>
  <c r="J180" i="2"/>
  <c r="I102" i="2"/>
  <c r="J102" i="2" s="1"/>
  <c r="I584" i="2" l="1"/>
  <c r="I101" i="2"/>
  <c r="I94" i="2" s="1"/>
  <c r="I155" i="2"/>
  <c r="J179" i="2"/>
  <c r="H362" i="2"/>
  <c r="J362" i="2" s="1"/>
  <c r="H361" i="2" l="1"/>
  <c r="J361" i="2" s="1"/>
  <c r="F336" i="61"/>
  <c r="I352" i="2"/>
  <c r="H352" i="2"/>
  <c r="H351" i="2" s="1"/>
  <c r="F32" i="1"/>
  <c r="G32" i="1" s="1"/>
  <c r="E32" i="1"/>
  <c r="I351" i="2" l="1"/>
  <c r="J351" i="2" s="1"/>
  <c r="J352" i="2"/>
  <c r="G336" i="61"/>
  <c r="H336" i="61" s="1"/>
  <c r="F313" i="61"/>
  <c r="G313" i="61"/>
  <c r="G300" i="61"/>
  <c r="H310" i="61"/>
  <c r="F300" i="61"/>
  <c r="H393" i="2"/>
  <c r="J393" i="2" s="1"/>
  <c r="F583" i="61"/>
  <c r="G591" i="61"/>
  <c r="H591" i="61" s="1"/>
  <c r="F591" i="61"/>
  <c r="I413" i="2"/>
  <c r="H413" i="2"/>
  <c r="H412" i="2" s="1"/>
  <c r="G254" i="61"/>
  <c r="H254" i="61" s="1"/>
  <c r="F254" i="61"/>
  <c r="G252" i="61"/>
  <c r="F252" i="61"/>
  <c r="G246" i="61"/>
  <c r="H246" i="61" s="1"/>
  <c r="F246" i="61"/>
  <c r="G244" i="61"/>
  <c r="F244" i="61"/>
  <c r="I264" i="2"/>
  <c r="H264" i="2"/>
  <c r="H263" i="2" s="1"/>
  <c r="I261" i="2"/>
  <c r="H261" i="2"/>
  <c r="H260" i="2" s="1"/>
  <c r="H244" i="61" l="1"/>
  <c r="H583" i="61"/>
  <c r="H300" i="61"/>
  <c r="I412" i="2"/>
  <c r="J412" i="2" s="1"/>
  <c r="J413" i="2"/>
  <c r="I260" i="2"/>
  <c r="J260" i="2" s="1"/>
  <c r="J261" i="2"/>
  <c r="I263" i="2"/>
  <c r="J263" i="2" s="1"/>
  <c r="J264" i="2"/>
  <c r="F243" i="61"/>
  <c r="G243" i="61"/>
  <c r="H243" i="61" s="1"/>
  <c r="H252" i="61"/>
  <c r="H313" i="61"/>
  <c r="G582" i="61"/>
  <c r="F582" i="61"/>
  <c r="I316" i="2"/>
  <c r="H316" i="2"/>
  <c r="G299" i="61"/>
  <c r="F299" i="61"/>
  <c r="H259" i="2"/>
  <c r="H249" i="2"/>
  <c r="F206" i="61"/>
  <c r="I201" i="2"/>
  <c r="H202" i="2"/>
  <c r="J202" i="2" s="1"/>
  <c r="G75" i="61"/>
  <c r="F75" i="61"/>
  <c r="G73" i="61"/>
  <c r="F73" i="61"/>
  <c r="H64" i="2"/>
  <c r="G71" i="61"/>
  <c r="F71" i="61"/>
  <c r="G422" i="61"/>
  <c r="F422" i="61"/>
  <c r="I509" i="2"/>
  <c r="H509" i="2"/>
  <c r="G508" i="61"/>
  <c r="F508" i="61"/>
  <c r="F507" i="61" s="1"/>
  <c r="I563" i="2"/>
  <c r="H563" i="2"/>
  <c r="H562" i="2" s="1"/>
  <c r="G496" i="61"/>
  <c r="F496" i="61"/>
  <c r="I550" i="2"/>
  <c r="H550" i="2"/>
  <c r="F490" i="61"/>
  <c r="G494" i="61"/>
  <c r="F494" i="61"/>
  <c r="I547" i="2"/>
  <c r="H547" i="2"/>
  <c r="G451" i="61"/>
  <c r="F451" i="61"/>
  <c r="I526" i="2"/>
  <c r="H526" i="2"/>
  <c r="G428" i="61"/>
  <c r="F428" i="61"/>
  <c r="I516" i="2"/>
  <c r="H516" i="2"/>
  <c r="H515" i="2" s="1"/>
  <c r="G486" i="61"/>
  <c r="F486" i="61"/>
  <c r="I537" i="2"/>
  <c r="H537" i="2"/>
  <c r="H531" i="2" s="1"/>
  <c r="E99" i="3"/>
  <c r="D99" i="3"/>
  <c r="E97" i="3"/>
  <c r="D97" i="3"/>
  <c r="E95" i="3"/>
  <c r="F95" i="3" s="1"/>
  <c r="D95" i="3"/>
  <c r="I513" i="2"/>
  <c r="H513" i="2"/>
  <c r="I511" i="2"/>
  <c r="J511" i="2" s="1"/>
  <c r="H511" i="2"/>
  <c r="F483" i="61"/>
  <c r="G481" i="61"/>
  <c r="F481" i="61"/>
  <c r="G396" i="61"/>
  <c r="F396" i="61"/>
  <c r="F371" i="61" s="1"/>
  <c r="I479" i="2"/>
  <c r="H479" i="2"/>
  <c r="D70" i="3"/>
  <c r="E27" i="3"/>
  <c r="D27" i="3"/>
  <c r="D26" i="3" s="1"/>
  <c r="D20" i="3"/>
  <c r="D18" i="3"/>
  <c r="H428" i="61" l="1"/>
  <c r="H494" i="61"/>
  <c r="G489" i="61"/>
  <c r="H75" i="61"/>
  <c r="H206" i="61"/>
  <c r="H299" i="61"/>
  <c r="H582" i="61"/>
  <c r="H481" i="61"/>
  <c r="H496" i="61"/>
  <c r="H508" i="61"/>
  <c r="G371" i="61"/>
  <c r="H371" i="61" s="1"/>
  <c r="H396" i="61"/>
  <c r="F99" i="3"/>
  <c r="F20" i="3"/>
  <c r="F70" i="3"/>
  <c r="F27" i="3"/>
  <c r="E26" i="3"/>
  <c r="F97" i="3"/>
  <c r="E17" i="3"/>
  <c r="F18" i="3"/>
  <c r="J526" i="2"/>
  <c r="J547" i="2"/>
  <c r="J513" i="2"/>
  <c r="J550" i="2"/>
  <c r="J509" i="2"/>
  <c r="I562" i="2"/>
  <c r="J562" i="2" s="1"/>
  <c r="J563" i="2"/>
  <c r="J531" i="2"/>
  <c r="J537" i="2"/>
  <c r="I515" i="2"/>
  <c r="J515" i="2" s="1"/>
  <c r="J516" i="2"/>
  <c r="J479" i="2"/>
  <c r="J316" i="2"/>
  <c r="I259" i="2"/>
  <c r="J259" i="2" s="1"/>
  <c r="I249" i="2"/>
  <c r="J249" i="2" s="1"/>
  <c r="J250" i="2"/>
  <c r="I200" i="2"/>
  <c r="H63" i="2"/>
  <c r="J63" i="2" s="1"/>
  <c r="J64" i="2"/>
  <c r="H71" i="61"/>
  <c r="H486" i="61"/>
  <c r="G507" i="61"/>
  <c r="H507" i="61" s="1"/>
  <c r="H483" i="61"/>
  <c r="H422" i="61"/>
  <c r="H490" i="61"/>
  <c r="H451" i="61"/>
  <c r="H73" i="61"/>
  <c r="D17" i="3"/>
  <c r="F489" i="61"/>
  <c r="H489" i="61" s="1"/>
  <c r="D94" i="3"/>
  <c r="E94" i="3"/>
  <c r="I508" i="2"/>
  <c r="H508" i="2"/>
  <c r="G480" i="61"/>
  <c r="F202" i="61"/>
  <c r="F480" i="61"/>
  <c r="I66" i="2"/>
  <c r="H201" i="2"/>
  <c r="J201" i="2" s="1"/>
  <c r="H66" i="2"/>
  <c r="H549" i="2"/>
  <c r="I549" i="2"/>
  <c r="H202" i="61" l="1"/>
  <c r="H480" i="61"/>
  <c r="F26" i="3"/>
  <c r="F94" i="3"/>
  <c r="F17" i="3"/>
  <c r="J508" i="2"/>
  <c r="J549" i="2"/>
  <c r="I62" i="2"/>
  <c r="J66" i="2"/>
  <c r="G370" i="61"/>
  <c r="G287" i="61"/>
  <c r="H287" i="61" s="1"/>
  <c r="F287" i="61"/>
  <c r="H283" i="61"/>
  <c r="F283" i="61"/>
  <c r="G280" i="61"/>
  <c r="H280" i="61" s="1"/>
  <c r="F280" i="61"/>
  <c r="G278" i="61"/>
  <c r="H278" i="61" s="1"/>
  <c r="F278" i="61"/>
  <c r="G275" i="61"/>
  <c r="H275" i="61" s="1"/>
  <c r="F275" i="61"/>
  <c r="G273" i="61"/>
  <c r="H273" i="61" s="1"/>
  <c r="F273" i="61"/>
  <c r="H294" i="2"/>
  <c r="H292" i="2"/>
  <c r="H284" i="2"/>
  <c r="J292" i="2" l="1"/>
  <c r="J294" i="2"/>
  <c r="J288" i="2"/>
  <c r="J287" i="2" s="1"/>
  <c r="I284" i="2"/>
  <c r="J285" i="2"/>
  <c r="I61" i="2"/>
  <c r="F272" i="61"/>
  <c r="F277" i="61"/>
  <c r="G277" i="61"/>
  <c r="H277" i="61" s="1"/>
  <c r="G272" i="61"/>
  <c r="F282" i="61"/>
  <c r="H283" i="2"/>
  <c r="H291" i="2"/>
  <c r="H290" i="2" s="1"/>
  <c r="H296" i="2"/>
  <c r="I291" i="2"/>
  <c r="I290" i="2" s="1"/>
  <c r="H272" i="61" l="1"/>
  <c r="H282" i="61"/>
  <c r="J284" i="2"/>
  <c r="J283" i="2" s="1"/>
  <c r="I283" i="2"/>
  <c r="I282" i="2" s="1"/>
  <c r="J291" i="2"/>
  <c r="J290" i="2" s="1"/>
  <c r="H282" i="2"/>
  <c r="D352" i="3"/>
  <c r="F352" i="3" l="1"/>
  <c r="J282" i="2"/>
  <c r="I418" i="2"/>
  <c r="H230" i="2"/>
  <c r="H418" i="2"/>
  <c r="D322" i="3"/>
  <c r="F322" i="3" l="1"/>
  <c r="J418" i="2"/>
  <c r="I230" i="2"/>
  <c r="J231" i="2"/>
  <c r="I416" i="2"/>
  <c r="I417" i="2"/>
  <c r="G294" i="61"/>
  <c r="H294" i="61" s="1"/>
  <c r="H311" i="2"/>
  <c r="H310" i="2" s="1"/>
  <c r="H309" i="2" s="1"/>
  <c r="H308" i="2" s="1"/>
  <c r="F294" i="61"/>
  <c r="I311" i="2"/>
  <c r="E556" i="3"/>
  <c r="F556" i="3" s="1"/>
  <c r="D556" i="3"/>
  <c r="I415" i="2" l="1"/>
  <c r="I310" i="2"/>
  <c r="J311" i="2"/>
  <c r="I229" i="2"/>
  <c r="J230" i="2"/>
  <c r="G293" i="61"/>
  <c r="G91" i="61"/>
  <c r="F91" i="61"/>
  <c r="I85" i="2"/>
  <c r="H85" i="2"/>
  <c r="H88" i="2"/>
  <c r="I88" i="2"/>
  <c r="I309" i="2" l="1"/>
  <c r="J310" i="2"/>
  <c r="J85" i="2"/>
  <c r="J88" i="2"/>
  <c r="H84" i="2"/>
  <c r="I84" i="2"/>
  <c r="H91" i="61"/>
  <c r="D572" i="3"/>
  <c r="D569" i="3" s="1"/>
  <c r="E582" i="3"/>
  <c r="D582" i="3"/>
  <c r="E580" i="3"/>
  <c r="D580" i="3"/>
  <c r="F25" i="61"/>
  <c r="G23" i="61"/>
  <c r="G22" i="61" s="1"/>
  <c r="F23" i="61"/>
  <c r="I21" i="2"/>
  <c r="E572" i="3"/>
  <c r="E569" i="3" s="1"/>
  <c r="G104" i="61"/>
  <c r="F104" i="61"/>
  <c r="H98" i="2"/>
  <c r="J98" i="2" s="1"/>
  <c r="H104" i="61" l="1"/>
  <c r="F580" i="3"/>
  <c r="F572" i="3"/>
  <c r="F582" i="3"/>
  <c r="I308" i="2"/>
  <c r="J308" i="2" s="1"/>
  <c r="J309" i="2"/>
  <c r="J84" i="2"/>
  <c r="I18" i="2"/>
  <c r="H23" i="61"/>
  <c r="H25" i="61"/>
  <c r="F22" i="61"/>
  <c r="D495" i="3"/>
  <c r="E495" i="3" l="1"/>
  <c r="F495" i="3" s="1"/>
  <c r="F496" i="3"/>
  <c r="I17" i="2"/>
  <c r="H22" i="61"/>
  <c r="H387" i="2"/>
  <c r="G94" i="61"/>
  <c r="F94" i="61"/>
  <c r="F90" i="61" s="1"/>
  <c r="H386" i="2" l="1"/>
  <c r="J386" i="2" s="1"/>
  <c r="J387" i="2"/>
  <c r="I16" i="2"/>
  <c r="H94" i="61"/>
  <c r="G90" i="61"/>
  <c r="H90" i="61" s="1"/>
  <c r="G569" i="61"/>
  <c r="H569" i="61" s="1"/>
  <c r="F569" i="61"/>
  <c r="G565" i="61"/>
  <c r="F565" i="61"/>
  <c r="G560" i="61"/>
  <c r="H560" i="61" s="1"/>
  <c r="F560" i="61"/>
  <c r="H392" i="2"/>
  <c r="J392" i="2" s="1"/>
  <c r="D461" i="3"/>
  <c r="F461" i="3" l="1"/>
  <c r="F455" i="3"/>
  <c r="I15" i="2"/>
  <c r="H565" i="61"/>
  <c r="D459" i="3"/>
  <c r="D458" i="3" s="1"/>
  <c r="D454" i="3" s="1"/>
  <c r="G114" i="61"/>
  <c r="F114" i="61"/>
  <c r="G137" i="61"/>
  <c r="F137" i="61"/>
  <c r="E458" i="3" l="1"/>
  <c r="F459" i="3"/>
  <c r="I14" i="2"/>
  <c r="H137" i="61"/>
  <c r="H114" i="61"/>
  <c r="I627" i="2"/>
  <c r="J627" i="2" s="1"/>
  <c r="G118" i="61"/>
  <c r="F468" i="61"/>
  <c r="F467" i="61" s="1"/>
  <c r="F109" i="61"/>
  <c r="G468" i="61"/>
  <c r="F118" i="61"/>
  <c r="G109" i="61"/>
  <c r="H627" i="2"/>
  <c r="H611" i="2" s="1"/>
  <c r="D354" i="3"/>
  <c r="F354" i="3" s="1"/>
  <c r="F458" i="3" l="1"/>
  <c r="E454" i="3"/>
  <c r="H109" i="61"/>
  <c r="H118" i="61"/>
  <c r="G467" i="61"/>
  <c r="H467" i="61" s="1"/>
  <c r="H468" i="61"/>
  <c r="I611" i="2"/>
  <c r="G108" i="61"/>
  <c r="H108" i="61" s="1"/>
  <c r="F108" i="61"/>
  <c r="F454" i="3" l="1"/>
  <c r="I590" i="2"/>
  <c r="J611" i="2"/>
  <c r="H152" i="61"/>
  <c r="F271" i="61"/>
  <c r="G271" i="61"/>
  <c r="H271" i="61" s="1"/>
  <c r="F293" i="61" l="1"/>
  <c r="H293" i="61" s="1"/>
  <c r="G241" i="61"/>
  <c r="F241" i="61"/>
  <c r="I242" i="2"/>
  <c r="H242" i="2"/>
  <c r="H241" i="61" l="1"/>
  <c r="J242" i="2"/>
  <c r="I241" i="2"/>
  <c r="H241" i="2"/>
  <c r="J241" i="2" l="1"/>
  <c r="I240" i="2"/>
  <c r="D276" i="3"/>
  <c r="F276" i="3" l="1"/>
  <c r="F350" i="61"/>
  <c r="F349" i="61" s="1"/>
  <c r="F348" i="61" s="1"/>
  <c r="I377" i="2"/>
  <c r="I376" i="2" s="1"/>
  <c r="I375" i="2" s="1"/>
  <c r="I374" i="2" s="1"/>
  <c r="I238" i="2" s="1"/>
  <c r="G350" i="61"/>
  <c r="H377" i="2"/>
  <c r="H376" i="2" s="1"/>
  <c r="H375" i="2" s="1"/>
  <c r="H374" i="2" s="1"/>
  <c r="D270" i="3"/>
  <c r="D265" i="3"/>
  <c r="D263" i="3"/>
  <c r="D261" i="3"/>
  <c r="D255" i="3"/>
  <c r="D253" i="3"/>
  <c r="D251" i="3"/>
  <c r="H547" i="61"/>
  <c r="H707" i="2"/>
  <c r="H706" i="2" s="1"/>
  <c r="G479" i="61"/>
  <c r="I546" i="2"/>
  <c r="H546" i="2"/>
  <c r="H350" i="61" l="1"/>
  <c r="D250" i="3"/>
  <c r="F253" i="3"/>
  <c r="F261" i="3"/>
  <c r="F255" i="3"/>
  <c r="F265" i="3"/>
  <c r="F251" i="3"/>
  <c r="E250" i="3"/>
  <c r="F263" i="3"/>
  <c r="F270" i="3"/>
  <c r="E260" i="3"/>
  <c r="J546" i="2"/>
  <c r="J377" i="2"/>
  <c r="H349" i="61"/>
  <c r="G478" i="61"/>
  <c r="D260" i="3"/>
  <c r="H212" i="2"/>
  <c r="H211" i="2" s="1"/>
  <c r="H200" i="2"/>
  <c r="J200" i="2" s="1"/>
  <c r="F454" i="61"/>
  <c r="F453" i="61" s="1"/>
  <c r="F479" i="61"/>
  <c r="H479" i="61" s="1"/>
  <c r="H62" i="2"/>
  <c r="J62" i="2" s="1"/>
  <c r="F250" i="3" l="1"/>
  <c r="F260" i="3"/>
  <c r="J376" i="2"/>
  <c r="I212" i="2"/>
  <c r="J220" i="2"/>
  <c r="G454" i="61"/>
  <c r="H455" i="61"/>
  <c r="H348" i="61"/>
  <c r="J643" i="2"/>
  <c r="J374" i="2" l="1"/>
  <c r="J375" i="2"/>
  <c r="I211" i="2"/>
  <c r="J211" i="2" s="1"/>
  <c r="J212" i="2"/>
  <c r="G453" i="61"/>
  <c r="H453" i="61" s="1"/>
  <c r="H454" i="61"/>
  <c r="H573" i="2"/>
  <c r="H542" i="2"/>
  <c r="I525" i="2"/>
  <c r="H525" i="2"/>
  <c r="E110" i="3"/>
  <c r="D110" i="3"/>
  <c r="G426" i="61"/>
  <c r="F426" i="61"/>
  <c r="G424" i="61"/>
  <c r="G409" i="61" s="1"/>
  <c r="G408" i="61" s="1"/>
  <c r="F424" i="61"/>
  <c r="H530" i="2"/>
  <c r="I476" i="2"/>
  <c r="H476" i="2"/>
  <c r="D244" i="3"/>
  <c r="F246" i="3"/>
  <c r="D246" i="3"/>
  <c r="H426" i="61" l="1"/>
  <c r="F244" i="3"/>
  <c r="F110" i="3"/>
  <c r="J530" i="2"/>
  <c r="H572" i="2"/>
  <c r="J573" i="2"/>
  <c r="J525" i="2"/>
  <c r="I541" i="2"/>
  <c r="I540" i="2" s="1"/>
  <c r="J542" i="2"/>
  <c r="J476" i="2"/>
  <c r="H424" i="61"/>
  <c r="D243" i="3"/>
  <c r="E243" i="3"/>
  <c r="F409" i="61"/>
  <c r="F408" i="61" s="1"/>
  <c r="H409" i="61"/>
  <c r="H541" i="2"/>
  <c r="H435" i="2"/>
  <c r="I524" i="2"/>
  <c r="H469" i="2"/>
  <c r="H494" i="2"/>
  <c r="H524" i="2"/>
  <c r="G357" i="61"/>
  <c r="I435" i="2"/>
  <c r="I469" i="2"/>
  <c r="J541" i="2" l="1"/>
  <c r="F243" i="3"/>
  <c r="J494" i="2"/>
  <c r="J524" i="2"/>
  <c r="H571" i="2"/>
  <c r="J571" i="2" s="1"/>
  <c r="J572" i="2"/>
  <c r="J469" i="2"/>
  <c r="I434" i="2"/>
  <c r="J435" i="2"/>
  <c r="H408" i="61"/>
  <c r="G356" i="61"/>
  <c r="H450" i="2"/>
  <c r="H449" i="2" s="1"/>
  <c r="I450" i="2"/>
  <c r="H540" i="2"/>
  <c r="H529" i="2" s="1"/>
  <c r="I493" i="2"/>
  <c r="H493" i="2"/>
  <c r="H492" i="2" s="1"/>
  <c r="J529" i="2" l="1"/>
  <c r="J540" i="2"/>
  <c r="I492" i="2"/>
  <c r="J492" i="2" s="1"/>
  <c r="J493" i="2"/>
  <c r="I449" i="2"/>
  <c r="J449" i="2" s="1"/>
  <c r="J450" i="2"/>
  <c r="I433" i="2"/>
  <c r="F199" i="3"/>
  <c r="D199" i="3"/>
  <c r="E168" i="3" l="1"/>
  <c r="D168" i="3"/>
  <c r="D159" i="3"/>
  <c r="E159" i="3"/>
  <c r="E130" i="3"/>
  <c r="D130" i="3"/>
  <c r="D129" i="3" s="1"/>
  <c r="E124" i="3"/>
  <c r="D124" i="3"/>
  <c r="E122" i="3"/>
  <c r="D122" i="3"/>
  <c r="E117" i="3"/>
  <c r="D117" i="3"/>
  <c r="E114" i="3"/>
  <c r="E109" i="3" s="1"/>
  <c r="E101" i="3" s="1"/>
  <c r="D114" i="3"/>
  <c r="D112" i="3"/>
  <c r="F112" i="3" s="1"/>
  <c r="E107" i="3"/>
  <c r="D107" i="3"/>
  <c r="E105" i="3"/>
  <c r="D105" i="3"/>
  <c r="E103" i="3"/>
  <c r="D103" i="3"/>
  <c r="F159" i="3" l="1"/>
  <c r="F117" i="3"/>
  <c r="F105" i="3"/>
  <c r="F168" i="3"/>
  <c r="F103" i="3"/>
  <c r="F114" i="3"/>
  <c r="F122" i="3"/>
  <c r="E129" i="3"/>
  <c r="F129" i="3" s="1"/>
  <c r="F130" i="3"/>
  <c r="F107" i="3"/>
  <c r="F124" i="3"/>
  <c r="D109" i="3"/>
  <c r="E116" i="3"/>
  <c r="D102" i="3"/>
  <c r="D116" i="3"/>
  <c r="F102" i="3" l="1"/>
  <c r="F109" i="3"/>
  <c r="F116" i="3"/>
  <c r="D101" i="3"/>
  <c r="E88" i="3"/>
  <c r="D88" i="3"/>
  <c r="E86" i="3"/>
  <c r="F86" i="3" s="1"/>
  <c r="D86" i="3"/>
  <c r="D67" i="3"/>
  <c r="E65" i="3"/>
  <c r="D65" i="3"/>
  <c r="E62" i="3"/>
  <c r="D62" i="3"/>
  <c r="E60" i="3"/>
  <c r="D60" i="3"/>
  <c r="F60" i="3" l="1"/>
  <c r="E59" i="3"/>
  <c r="F65" i="3"/>
  <c r="F62" i="3"/>
  <c r="F88" i="3"/>
  <c r="F67" i="3"/>
  <c r="F101" i="3"/>
  <c r="D81" i="3"/>
  <c r="D80" i="3" s="1"/>
  <c r="D59" i="3"/>
  <c r="E57" i="3"/>
  <c r="D57" i="3"/>
  <c r="E55" i="3"/>
  <c r="D55" i="3"/>
  <c r="E53" i="3"/>
  <c r="D53" i="3"/>
  <c r="F53" i="3" l="1"/>
  <c r="F57" i="3"/>
  <c r="F81" i="3"/>
  <c r="F55" i="3"/>
  <c r="F59" i="3"/>
  <c r="F80" i="3"/>
  <c r="E52" i="3"/>
  <c r="D52" i="3"/>
  <c r="E45" i="3"/>
  <c r="D46" i="3"/>
  <c r="D45" i="3" s="1"/>
  <c r="E37" i="3"/>
  <c r="D37" i="3"/>
  <c r="E39" i="3"/>
  <c r="D39" i="3"/>
  <c r="E35" i="3"/>
  <c r="D35" i="3"/>
  <c r="F37" i="3" l="1"/>
  <c r="F39" i="3"/>
  <c r="E34" i="3"/>
  <c r="F35" i="3"/>
  <c r="F46" i="3"/>
  <c r="F52" i="3"/>
  <c r="D34" i="3"/>
  <c r="E30" i="3"/>
  <c r="D30" i="3"/>
  <c r="D29" i="3" s="1"/>
  <c r="E493" i="3"/>
  <c r="D493" i="3"/>
  <c r="D492" i="3" s="1"/>
  <c r="D488" i="3"/>
  <c r="D487" i="3" s="1"/>
  <c r="E487" i="3" l="1"/>
  <c r="F487" i="3" s="1"/>
  <c r="F488" i="3"/>
  <c r="E492" i="3"/>
  <c r="F492" i="3" s="1"/>
  <c r="F493" i="3"/>
  <c r="E33" i="3"/>
  <c r="F45" i="3"/>
  <c r="E29" i="3"/>
  <c r="F29" i="3" s="1"/>
  <c r="F30" i="3"/>
  <c r="F34" i="3"/>
  <c r="D33" i="3"/>
  <c r="E16" i="3"/>
  <c r="F33" i="3" l="1"/>
  <c r="E486" i="3"/>
  <c r="E15" i="3"/>
  <c r="G541" i="61"/>
  <c r="H541" i="61" s="1"/>
  <c r="F541" i="61"/>
  <c r="F540" i="61" s="1"/>
  <c r="E485" i="3" l="1"/>
  <c r="G540" i="61"/>
  <c r="H540" i="61" s="1"/>
  <c r="G515" i="61"/>
  <c r="G514" i="61" l="1"/>
  <c r="H21" i="2"/>
  <c r="J21" i="2" s="1"/>
  <c r="H19" i="2"/>
  <c r="H18" i="2" l="1"/>
  <c r="J18" i="2" s="1"/>
  <c r="J19" i="2"/>
  <c r="E205" i="3"/>
  <c r="D205" i="3"/>
  <c r="D204" i="3" s="1"/>
  <c r="E204" i="3" l="1"/>
  <c r="F204" i="3" s="1"/>
  <c r="F205" i="3"/>
  <c r="G369" i="61"/>
  <c r="F357" i="61"/>
  <c r="H357" i="61" s="1"/>
  <c r="F370" i="61"/>
  <c r="H370" i="61" s="1"/>
  <c r="F356" i="61" l="1"/>
  <c r="H356" i="61" s="1"/>
  <c r="F369" i="61"/>
  <c r="H369" i="61" s="1"/>
  <c r="H143" i="2"/>
  <c r="E375" i="3"/>
  <c r="F375" i="3" s="1"/>
  <c r="D375" i="3"/>
  <c r="H142" i="2" l="1"/>
  <c r="J142" i="2" s="1"/>
  <c r="J143" i="2"/>
  <c r="D443" i="3"/>
  <c r="D442" i="3" s="1"/>
  <c r="D441" i="3" s="1"/>
  <c r="D431" i="3"/>
  <c r="E373" i="3" l="1"/>
  <c r="D373" i="3"/>
  <c r="E371" i="3"/>
  <c r="D371" i="3"/>
  <c r="E369" i="3"/>
  <c r="D369" i="3"/>
  <c r="E367" i="3"/>
  <c r="D367" i="3"/>
  <c r="E363" i="3"/>
  <c r="D363" i="3"/>
  <c r="E361" i="3"/>
  <c r="D361" i="3"/>
  <c r="E359" i="3"/>
  <c r="D359" i="3"/>
  <c r="E385" i="3"/>
  <c r="D385" i="3"/>
  <c r="E383" i="3"/>
  <c r="D383" i="3"/>
  <c r="E381" i="3"/>
  <c r="D381" i="3"/>
  <c r="D380" i="3" s="1"/>
  <c r="F361" i="3" l="1"/>
  <c r="F367" i="3"/>
  <c r="F371" i="3"/>
  <c r="F385" i="3"/>
  <c r="F383" i="3"/>
  <c r="F359" i="3"/>
  <c r="F381" i="3"/>
  <c r="E380" i="3"/>
  <c r="F363" i="3"/>
  <c r="F369" i="3"/>
  <c r="F373" i="3"/>
  <c r="D358" i="3"/>
  <c r="D357" i="3" s="1"/>
  <c r="E358" i="3"/>
  <c r="E357" i="3" l="1"/>
  <c r="F357" i="3" s="1"/>
  <c r="F358" i="3"/>
  <c r="E379" i="3"/>
  <c r="F380" i="3"/>
  <c r="E356" i="3" l="1"/>
  <c r="E390" i="3"/>
  <c r="D390" i="3"/>
  <c r="D389" i="3" s="1"/>
  <c r="E389" i="3" l="1"/>
  <c r="F389" i="3" s="1"/>
  <c r="F390" i="3"/>
  <c r="E227" i="3"/>
  <c r="D227" i="3"/>
  <c r="E216" i="3"/>
  <c r="D216" i="3"/>
  <c r="D215" i="3" s="1"/>
  <c r="F227" i="3" l="1"/>
  <c r="E215" i="3"/>
  <c r="F215" i="3" s="1"/>
  <c r="F216" i="3"/>
  <c r="E218" i="3"/>
  <c r="F218" i="3" s="1"/>
  <c r="D218" i="3"/>
  <c r="F226" i="61" l="1"/>
  <c r="G226" i="61" l="1"/>
  <c r="H226" i="61" s="1"/>
  <c r="H229" i="2"/>
  <c r="J229" i="2" s="1"/>
  <c r="E585" i="3" l="1"/>
  <c r="D585" i="3"/>
  <c r="D579" i="3" s="1"/>
  <c r="F569" i="3"/>
  <c r="E563" i="3"/>
  <c r="F563" i="3" s="1"/>
  <c r="D563" i="3"/>
  <c r="D560" i="3"/>
  <c r="D555" i="3" s="1"/>
  <c r="E547" i="3"/>
  <c r="D547" i="3"/>
  <c r="D544" i="3" s="1"/>
  <c r="E541" i="3"/>
  <c r="D541" i="3"/>
  <c r="E539" i="3"/>
  <c r="F539" i="3" s="1"/>
  <c r="D539" i="3"/>
  <c r="E536" i="3"/>
  <c r="F536" i="3" s="1"/>
  <c r="D536" i="3"/>
  <c r="E533" i="3"/>
  <c r="F533" i="3" s="1"/>
  <c r="D533" i="3"/>
  <c r="E530" i="3"/>
  <c r="D530" i="3"/>
  <c r="D529" i="3" s="1"/>
  <c r="F515" i="3"/>
  <c r="D515" i="3"/>
  <c r="D511" i="3"/>
  <c r="D510" i="3" s="1"/>
  <c r="E483" i="3"/>
  <c r="D483" i="3"/>
  <c r="D482" i="3" s="1"/>
  <c r="E480" i="3"/>
  <c r="D480" i="3"/>
  <c r="D479" i="3" s="1"/>
  <c r="E476" i="3"/>
  <c r="D476" i="3"/>
  <c r="D475" i="3" s="1"/>
  <c r="E473" i="3"/>
  <c r="F473" i="3" s="1"/>
  <c r="E471" i="3"/>
  <c r="F471" i="3" s="1"/>
  <c r="E452" i="3"/>
  <c r="F452" i="3" s="1"/>
  <c r="D452" i="3"/>
  <c r="E450" i="3"/>
  <c r="D450" i="3"/>
  <c r="E443" i="3"/>
  <c r="E439" i="3"/>
  <c r="D439" i="3"/>
  <c r="D438" i="3" s="1"/>
  <c r="D436" i="3"/>
  <c r="F431" i="3"/>
  <c r="E405" i="3"/>
  <c r="D405" i="3"/>
  <c r="E388" i="3"/>
  <c r="F388" i="3" s="1"/>
  <c r="D388" i="3"/>
  <c r="D350" i="3"/>
  <c r="D349" i="3" s="1"/>
  <c r="D320" i="3"/>
  <c r="D274" i="3"/>
  <c r="D273" i="3" s="1"/>
  <c r="D268" i="3"/>
  <c r="D267" i="3" s="1"/>
  <c r="D259" i="3" s="1"/>
  <c r="E241" i="3"/>
  <c r="D241" i="3"/>
  <c r="D226" i="3"/>
  <c r="E226" i="3"/>
  <c r="E214" i="3"/>
  <c r="E208" i="3"/>
  <c r="D208" i="3"/>
  <c r="D207" i="3" s="1"/>
  <c r="E202" i="3"/>
  <c r="D202" i="3"/>
  <c r="D201" i="3" s="1"/>
  <c r="F197" i="3"/>
  <c r="D195" i="3"/>
  <c r="D194" i="3" s="1"/>
  <c r="D171" i="3"/>
  <c r="D170" i="3" s="1"/>
  <c r="E166" i="3"/>
  <c r="D166" i="3"/>
  <c r="D165" i="3" s="1"/>
  <c r="E157" i="3"/>
  <c r="D157" i="3"/>
  <c r="D154" i="3" s="1"/>
  <c r="F541" i="3" l="1"/>
  <c r="F560" i="3"/>
  <c r="E529" i="3"/>
  <c r="F529" i="3" s="1"/>
  <c r="F530" i="3"/>
  <c r="E544" i="3"/>
  <c r="F544" i="3" s="1"/>
  <c r="F547" i="3"/>
  <c r="E579" i="3"/>
  <c r="F579" i="3" s="1"/>
  <c r="F585" i="3"/>
  <c r="E510" i="3"/>
  <c r="F511" i="3"/>
  <c r="E475" i="3"/>
  <c r="F475" i="3" s="1"/>
  <c r="F476" i="3"/>
  <c r="E479" i="3"/>
  <c r="F479" i="3" s="1"/>
  <c r="F480" i="3"/>
  <c r="E482" i="3"/>
  <c r="F482" i="3" s="1"/>
  <c r="F483" i="3"/>
  <c r="F405" i="3"/>
  <c r="F450" i="3"/>
  <c r="E442" i="3"/>
  <c r="E441" i="3" s="1"/>
  <c r="F441" i="3" s="1"/>
  <c r="F443" i="3"/>
  <c r="F436" i="3"/>
  <c r="F226" i="3"/>
  <c r="E438" i="3"/>
  <c r="F438" i="3" s="1"/>
  <c r="F439" i="3"/>
  <c r="F350" i="3"/>
  <c r="E349" i="3"/>
  <c r="F349" i="3" s="1"/>
  <c r="F320" i="3"/>
  <c r="D136" i="3"/>
  <c r="E240" i="3"/>
  <c r="F241" i="3"/>
  <c r="E259" i="3"/>
  <c r="F259" i="3" s="1"/>
  <c r="F268" i="3"/>
  <c r="E273" i="3"/>
  <c r="F273" i="3" s="1"/>
  <c r="F274" i="3"/>
  <c r="F195" i="3"/>
  <c r="E194" i="3"/>
  <c r="E154" i="3"/>
  <c r="F157" i="3"/>
  <c r="E170" i="3"/>
  <c r="F170" i="3" s="1"/>
  <c r="F171" i="3"/>
  <c r="E165" i="3"/>
  <c r="F165" i="3" s="1"/>
  <c r="F166" i="3"/>
  <c r="E201" i="3"/>
  <c r="F201" i="3" s="1"/>
  <c r="F202" i="3"/>
  <c r="E207" i="3"/>
  <c r="F207" i="3" s="1"/>
  <c r="F208" i="3"/>
  <c r="E555" i="3"/>
  <c r="F555" i="3" s="1"/>
  <c r="D179" i="3"/>
  <c r="D178" i="3" s="1"/>
  <c r="E179" i="3"/>
  <c r="E430" i="3"/>
  <c r="E446" i="3"/>
  <c r="E319" i="3"/>
  <c r="D319" i="3"/>
  <c r="D318" i="3" s="1"/>
  <c r="D317" i="3" s="1"/>
  <c r="E404" i="3"/>
  <c r="D193" i="3"/>
  <c r="D404" i="3"/>
  <c r="E532" i="3"/>
  <c r="F532" i="3" s="1"/>
  <c r="D532" i="3"/>
  <c r="D478" i="3"/>
  <c r="D486" i="3"/>
  <c r="E324" i="3"/>
  <c r="E387" i="3"/>
  <c r="D446" i="3"/>
  <c r="D445" i="3" s="1"/>
  <c r="E470" i="3"/>
  <c r="D324" i="3"/>
  <c r="D272" i="3"/>
  <c r="D470" i="3"/>
  <c r="D464" i="3" s="1"/>
  <c r="D16" i="3"/>
  <c r="D430" i="3"/>
  <c r="D240" i="3"/>
  <c r="D239" i="3" s="1"/>
  <c r="E213" i="3"/>
  <c r="D387" i="3"/>
  <c r="D214" i="3"/>
  <c r="D213" i="3" s="1"/>
  <c r="D379" i="3"/>
  <c r="I717" i="2"/>
  <c r="H717" i="2"/>
  <c r="H716" i="2" s="1"/>
  <c r="H715" i="2" s="1"/>
  <c r="H705" i="2" s="1"/>
  <c r="H704" i="2" s="1"/>
  <c r="I707" i="2"/>
  <c r="H688" i="2"/>
  <c r="H687" i="2" s="1"/>
  <c r="H686" i="2" s="1"/>
  <c r="I671" i="2"/>
  <c r="J671" i="2" s="1"/>
  <c r="H671" i="2"/>
  <c r="H417" i="2"/>
  <c r="J417" i="2" s="1"/>
  <c r="I407" i="2"/>
  <c r="H407" i="2"/>
  <c r="H403" i="2"/>
  <c r="H391" i="2"/>
  <c r="J391" i="2" s="1"/>
  <c r="I267" i="2"/>
  <c r="H156" i="2"/>
  <c r="H155" i="2" s="1"/>
  <c r="H141" i="2"/>
  <c r="H97" i="2"/>
  <c r="I80" i="2"/>
  <c r="H80" i="2"/>
  <c r="H76" i="2"/>
  <c r="I58" i="2"/>
  <c r="H57" i="2"/>
  <c r="H56" i="2" s="1"/>
  <c r="H55" i="2" s="1"/>
  <c r="I49" i="2"/>
  <c r="H49" i="2"/>
  <c r="H48" i="2" s="1"/>
  <c r="H45" i="2"/>
  <c r="H39" i="2"/>
  <c r="J39" i="2" s="1"/>
  <c r="I30" i="2"/>
  <c r="H30" i="2"/>
  <c r="E478" i="3" l="1"/>
  <c r="F478" i="3" s="1"/>
  <c r="E509" i="3"/>
  <c r="F510" i="3"/>
  <c r="E508" i="3"/>
  <c r="F404" i="3"/>
  <c r="D485" i="3"/>
  <c r="F485" i="3" s="1"/>
  <c r="F486" i="3"/>
  <c r="E464" i="3"/>
  <c r="F464" i="3" s="1"/>
  <c r="F470" i="3"/>
  <c r="F387" i="3"/>
  <c r="E445" i="3"/>
  <c r="F445" i="3" s="1"/>
  <c r="F446" i="3"/>
  <c r="E429" i="3"/>
  <c r="F430" i="3"/>
  <c r="F442" i="3"/>
  <c r="D356" i="3"/>
  <c r="F356" i="3" s="1"/>
  <c r="F379" i="3"/>
  <c r="F324" i="3"/>
  <c r="E318" i="3"/>
  <c r="F319" i="3"/>
  <c r="F213" i="3"/>
  <c r="F267" i="3"/>
  <c r="E239" i="3"/>
  <c r="F239" i="3" s="1"/>
  <c r="F240" i="3"/>
  <c r="E272" i="3"/>
  <c r="F214" i="3"/>
  <c r="F154" i="3"/>
  <c r="E136" i="3"/>
  <c r="F136" i="3" s="1"/>
  <c r="E178" i="3"/>
  <c r="F178" i="3" s="1"/>
  <c r="F179" i="3"/>
  <c r="E193" i="3"/>
  <c r="F193" i="3" s="1"/>
  <c r="F194" i="3"/>
  <c r="D15" i="3"/>
  <c r="F15" i="3" s="1"/>
  <c r="F16" i="3"/>
  <c r="I716" i="2"/>
  <c r="J717" i="2"/>
  <c r="I706" i="2"/>
  <c r="J706" i="2" s="1"/>
  <c r="J707" i="2"/>
  <c r="H402" i="2"/>
  <c r="J402" i="2" s="1"/>
  <c r="J403" i="2"/>
  <c r="I401" i="2"/>
  <c r="I400" i="2" s="1"/>
  <c r="J407" i="2"/>
  <c r="J155" i="2"/>
  <c r="J156" i="2"/>
  <c r="H140" i="2"/>
  <c r="J141" i="2"/>
  <c r="H75" i="2"/>
  <c r="J75" i="2" s="1"/>
  <c r="J76" i="2"/>
  <c r="H44" i="2"/>
  <c r="J44" i="2" s="1"/>
  <c r="J45" i="2"/>
  <c r="I57" i="2"/>
  <c r="J58" i="2"/>
  <c r="H96" i="2"/>
  <c r="J96" i="2" s="1"/>
  <c r="J97" i="2"/>
  <c r="J30" i="2"/>
  <c r="J49" i="2"/>
  <c r="J80" i="2"/>
  <c r="I29" i="2"/>
  <c r="I48" i="2"/>
  <c r="H29" i="2"/>
  <c r="H28" i="2" s="1"/>
  <c r="H27" i="2" s="1"/>
  <c r="H26" i="2" s="1"/>
  <c r="H43" i="2"/>
  <c r="H42" i="2" s="1"/>
  <c r="I583" i="2"/>
  <c r="D509" i="3"/>
  <c r="D508" i="3" s="1"/>
  <c r="D238" i="3"/>
  <c r="D135" i="3"/>
  <c r="H79" i="2"/>
  <c r="I79" i="2"/>
  <c r="E463" i="3"/>
  <c r="D463" i="3"/>
  <c r="D528" i="3"/>
  <c r="E528" i="3"/>
  <c r="F528" i="3" s="1"/>
  <c r="D348" i="3"/>
  <c r="D347" i="3"/>
  <c r="E348" i="3"/>
  <c r="E347" i="3"/>
  <c r="D429" i="3"/>
  <c r="D428" i="3" s="1"/>
  <c r="D291" i="3"/>
  <c r="E291" i="3"/>
  <c r="I670" i="2"/>
  <c r="J670" i="2" s="1"/>
  <c r="H523" i="2"/>
  <c r="H522" i="2" s="1"/>
  <c r="H95" i="2"/>
  <c r="I523" i="2"/>
  <c r="H670" i="2"/>
  <c r="H669" i="2" s="1"/>
  <c r="H267" i="2"/>
  <c r="H266" i="2" s="1"/>
  <c r="H390" i="2"/>
  <c r="H434" i="2"/>
  <c r="H385" i="2"/>
  <c r="H199" i="2"/>
  <c r="H592" i="2"/>
  <c r="I199" i="2"/>
  <c r="H416" i="2"/>
  <c r="H38" i="2"/>
  <c r="H146" i="2"/>
  <c r="H642" i="2"/>
  <c r="H586" i="2"/>
  <c r="H61" i="2"/>
  <c r="J61" i="2" s="1"/>
  <c r="H17" i="2"/>
  <c r="H401" i="2"/>
  <c r="H400" i="2" s="1"/>
  <c r="H399" i="2" s="1"/>
  <c r="F595" i="61"/>
  <c r="H595" i="61" s="1"/>
  <c r="G568" i="61"/>
  <c r="H568" i="61" s="1"/>
  <c r="F568" i="61"/>
  <c r="F567" i="61" s="1"/>
  <c r="G564" i="61"/>
  <c r="F564" i="61"/>
  <c r="F563" i="61" s="1"/>
  <c r="G559" i="61"/>
  <c r="H559" i="61" s="1"/>
  <c r="F559" i="61"/>
  <c r="F558" i="61" s="1"/>
  <c r="F557" i="61" s="1"/>
  <c r="G450" i="61"/>
  <c r="H450" i="61" s="1"/>
  <c r="F450" i="61"/>
  <c r="F449" i="61" s="1"/>
  <c r="F448" i="61" s="1"/>
  <c r="G431" i="61"/>
  <c r="H431" i="61" s="1"/>
  <c r="F431" i="61"/>
  <c r="F407" i="61" s="1"/>
  <c r="G328" i="61"/>
  <c r="H328" i="61" s="1"/>
  <c r="F328" i="61"/>
  <c r="F292" i="61" s="1"/>
  <c r="G257" i="61"/>
  <c r="H257" i="61" s="1"/>
  <c r="F257" i="61"/>
  <c r="F256" i="61" s="1"/>
  <c r="H182" i="61"/>
  <c r="F182" i="61"/>
  <c r="G136" i="61"/>
  <c r="H136" i="61" s="1"/>
  <c r="F136" i="61"/>
  <c r="F135" i="61" s="1"/>
  <c r="G103" i="61"/>
  <c r="H103" i="61" s="1"/>
  <c r="F103" i="61"/>
  <c r="F102" i="61" s="1"/>
  <c r="G86" i="61"/>
  <c r="F86" i="61"/>
  <c r="F85" i="61" s="1"/>
  <c r="G82" i="61"/>
  <c r="F82" i="61"/>
  <c r="F81" i="61" s="1"/>
  <c r="G66" i="61"/>
  <c r="F66" i="61"/>
  <c r="F65" i="61" s="1"/>
  <c r="F64" i="61" s="1"/>
  <c r="F63" i="61" s="1"/>
  <c r="G58" i="61"/>
  <c r="F58" i="61"/>
  <c r="F57" i="61" s="1"/>
  <c r="G46" i="61"/>
  <c r="F45" i="61"/>
  <c r="F44" i="61" s="1"/>
  <c r="F43" i="61" s="1"/>
  <c r="H36" i="61"/>
  <c r="F33" i="61"/>
  <c r="F32" i="61" s="1"/>
  <c r="F21" i="61"/>
  <c r="G19" i="61"/>
  <c r="F19" i="61"/>
  <c r="F18" i="61" s="1"/>
  <c r="F17" i="61" s="1"/>
  <c r="F16" i="61" s="1"/>
  <c r="H564" i="61" l="1"/>
  <c r="F291" i="3"/>
  <c r="F509" i="3"/>
  <c r="F508" i="3"/>
  <c r="E428" i="3"/>
  <c r="F428" i="3" s="1"/>
  <c r="F463" i="3"/>
  <c r="F347" i="3"/>
  <c r="F429" i="3"/>
  <c r="F348" i="3"/>
  <c r="E317" i="3"/>
  <c r="F317" i="3" s="1"/>
  <c r="F318" i="3"/>
  <c r="E238" i="3"/>
  <c r="F238" i="3" s="1"/>
  <c r="F272" i="3"/>
  <c r="E135" i="3"/>
  <c r="F135" i="3" s="1"/>
  <c r="I715" i="2"/>
  <c r="J716" i="2"/>
  <c r="H641" i="2"/>
  <c r="J641" i="2" s="1"/>
  <c r="J642" i="2"/>
  <c r="H585" i="2"/>
  <c r="J585" i="2" s="1"/>
  <c r="J586" i="2"/>
  <c r="H591" i="2"/>
  <c r="J591" i="2" s="1"/>
  <c r="J592" i="2"/>
  <c r="I522" i="2"/>
  <c r="J522" i="2" s="1"/>
  <c r="J523" i="2"/>
  <c r="H389" i="2"/>
  <c r="J389" i="2" s="1"/>
  <c r="J390" i="2"/>
  <c r="H415" i="2"/>
  <c r="J415" i="2" s="1"/>
  <c r="J416" i="2"/>
  <c r="H384" i="2"/>
  <c r="J385" i="2"/>
  <c r="J401" i="2"/>
  <c r="H433" i="2"/>
  <c r="J433" i="2" s="1"/>
  <c r="J434" i="2"/>
  <c r="I399" i="2"/>
  <c r="J400" i="2"/>
  <c r="J79" i="2"/>
  <c r="J267" i="2"/>
  <c r="J199" i="2"/>
  <c r="H145" i="2"/>
  <c r="J145" i="2" s="1"/>
  <c r="J146" i="2"/>
  <c r="J95" i="2"/>
  <c r="H134" i="2"/>
  <c r="J134" i="2" s="1"/>
  <c r="J140" i="2"/>
  <c r="I28" i="2"/>
  <c r="J29" i="2"/>
  <c r="H16" i="2"/>
  <c r="J17" i="2"/>
  <c r="H37" i="2"/>
  <c r="J37" i="2" s="1"/>
  <c r="J38" i="2"/>
  <c r="I56" i="2"/>
  <c r="J57" i="2"/>
  <c r="I43" i="2"/>
  <c r="J43" i="2" s="1"/>
  <c r="J48" i="2"/>
  <c r="G135" i="61"/>
  <c r="F594" i="61"/>
  <c r="F593" i="61" s="1"/>
  <c r="G256" i="61"/>
  <c r="H256" i="61" s="1"/>
  <c r="H558" i="61"/>
  <c r="G292" i="61"/>
  <c r="H292" i="61" s="1"/>
  <c r="G449" i="61"/>
  <c r="H449" i="61" s="1"/>
  <c r="G563" i="61"/>
  <c r="H563" i="61" s="1"/>
  <c r="G407" i="61"/>
  <c r="H407" i="61" s="1"/>
  <c r="G102" i="61"/>
  <c r="H102" i="61" s="1"/>
  <c r="G85" i="61"/>
  <c r="H85" i="61" s="1"/>
  <c r="H86" i="61"/>
  <c r="G81" i="61"/>
  <c r="H81" i="61" s="1"/>
  <c r="H82" i="61"/>
  <c r="G65" i="61"/>
  <c r="H66" i="61"/>
  <c r="G57" i="61"/>
  <c r="H57" i="61" s="1"/>
  <c r="H58" i="61"/>
  <c r="G45" i="61"/>
  <c r="H46" i="61"/>
  <c r="H32" i="61"/>
  <c r="H33" i="61"/>
  <c r="G18" i="61"/>
  <c r="H19" i="61"/>
  <c r="F562" i="61"/>
  <c r="H74" i="2"/>
  <c r="I669" i="2"/>
  <c r="I74" i="2"/>
  <c r="F80" i="61"/>
  <c r="H584" i="2"/>
  <c r="D14" i="3"/>
  <c r="D13" i="3" s="1"/>
  <c r="H590" i="2"/>
  <c r="J590" i="2" s="1"/>
  <c r="I266" i="2"/>
  <c r="H640" i="2"/>
  <c r="H240" i="2"/>
  <c r="H528" i="2"/>
  <c r="G567" i="61"/>
  <c r="H567" i="61" s="1"/>
  <c r="I528" i="2"/>
  <c r="J528" i="2" s="1"/>
  <c r="F201" i="61"/>
  <c r="F237" i="61"/>
  <c r="G237" i="61"/>
  <c r="H237" i="61" s="1"/>
  <c r="G251" i="61"/>
  <c r="H135" i="61"/>
  <c r="G151" i="61"/>
  <c r="F251" i="61"/>
  <c r="F210" i="61"/>
  <c r="H210" i="61" s="1"/>
  <c r="G70" i="61"/>
  <c r="F611" i="61"/>
  <c r="F610" i="61" s="1"/>
  <c r="F609" i="61" s="1"/>
  <c r="F581" i="61"/>
  <c r="G581" i="61"/>
  <c r="H581" i="61" s="1"/>
  <c r="G594" i="61"/>
  <c r="H594" i="61" s="1"/>
  <c r="F515" i="61"/>
  <c r="H515" i="61" s="1"/>
  <c r="H101" i="2"/>
  <c r="H94" i="2" s="1"/>
  <c r="F151" i="61"/>
  <c r="F150" i="61" s="1"/>
  <c r="F146" i="61" s="1"/>
  <c r="F141" i="61" s="1"/>
  <c r="F160" i="61"/>
  <c r="F159" i="61" s="1"/>
  <c r="F101" i="61"/>
  <c r="G101" i="61"/>
  <c r="H101" i="61" s="1"/>
  <c r="F49" i="61"/>
  <c r="F48" i="61" s="1"/>
  <c r="G21" i="61"/>
  <c r="H21" i="61" s="1"/>
  <c r="F478" i="61"/>
  <c r="F70" i="61"/>
  <c r="F69" i="61" s="1"/>
  <c r="F31" i="61"/>
  <c r="F30" i="61" s="1"/>
  <c r="H201" i="61" l="1"/>
  <c r="H611" i="61"/>
  <c r="G159" i="61"/>
  <c r="H160" i="61"/>
  <c r="H151" i="61"/>
  <c r="E14" i="3"/>
  <c r="E13" i="3" s="1"/>
  <c r="F13" i="3" s="1"/>
  <c r="J715" i="2"/>
  <c r="I705" i="2"/>
  <c r="I640" i="2"/>
  <c r="I582" i="2" s="1"/>
  <c r="J669" i="2"/>
  <c r="H583" i="2"/>
  <c r="J583" i="2" s="1"/>
  <c r="J584" i="2"/>
  <c r="I578" i="2"/>
  <c r="I577" i="2" s="1"/>
  <c r="H383" i="2"/>
  <c r="J384" i="2"/>
  <c r="I382" i="2"/>
  <c r="J399" i="2"/>
  <c r="J266" i="2"/>
  <c r="H239" i="2"/>
  <c r="J239" i="2" s="1"/>
  <c r="J240" i="2"/>
  <c r="H133" i="2"/>
  <c r="J133" i="2" s="1"/>
  <c r="I42" i="2"/>
  <c r="J42" i="2" s="1"/>
  <c r="I55" i="2"/>
  <c r="J55" i="2" s="1"/>
  <c r="J56" i="2"/>
  <c r="H15" i="2"/>
  <c r="J16" i="2"/>
  <c r="J94" i="2"/>
  <c r="J101" i="2"/>
  <c r="I27" i="2"/>
  <c r="J28" i="2"/>
  <c r="I60" i="2"/>
  <c r="J74" i="2"/>
  <c r="G49" i="61"/>
  <c r="H49" i="61" s="1"/>
  <c r="H30" i="61"/>
  <c r="G80" i="61"/>
  <c r="H80" i="61" s="1"/>
  <c r="G562" i="61"/>
  <c r="H562" i="61" s="1"/>
  <c r="G593" i="61"/>
  <c r="H593" i="61" s="1"/>
  <c r="G150" i="61"/>
  <c r="H150" i="61" s="1"/>
  <c r="F355" i="61"/>
  <c r="H478" i="61"/>
  <c r="F514" i="61"/>
  <c r="H514" i="61" s="1"/>
  <c r="H251" i="61"/>
  <c r="G448" i="61"/>
  <c r="H448" i="61" s="1"/>
  <c r="H557" i="61"/>
  <c r="G69" i="61"/>
  <c r="H69" i="61" s="1"/>
  <c r="H70" i="61"/>
  <c r="G64" i="61"/>
  <c r="H65" i="61"/>
  <c r="G44" i="61"/>
  <c r="H45" i="61"/>
  <c r="G17" i="61"/>
  <c r="H18" i="61"/>
  <c r="G578" i="61"/>
  <c r="F578" i="61"/>
  <c r="F577" i="61" s="1"/>
  <c r="F576" i="61" s="1"/>
  <c r="F575" i="61" s="1"/>
  <c r="F556" i="61" s="1"/>
  <c r="I448" i="2"/>
  <c r="H582" i="2"/>
  <c r="H578" i="2" s="1"/>
  <c r="H577" i="2" s="1"/>
  <c r="H576" i="2" s="1"/>
  <c r="H575" i="2" s="1"/>
  <c r="H570" i="2" s="1"/>
  <c r="F68" i="61"/>
  <c r="F15" i="61" s="1"/>
  <c r="H60" i="2"/>
  <c r="H36" i="2" s="1"/>
  <c r="H238" i="2"/>
  <c r="F236" i="61"/>
  <c r="F235" i="61" s="1"/>
  <c r="F234" i="61" s="1"/>
  <c r="F200" i="61"/>
  <c r="H200" i="61"/>
  <c r="G236" i="61"/>
  <c r="G107" i="61"/>
  <c r="H107" i="61" s="1"/>
  <c r="G513" i="61"/>
  <c r="F107" i="61"/>
  <c r="F100" i="61" s="1"/>
  <c r="J640" i="2" l="1"/>
  <c r="H159" i="61"/>
  <c r="G140" i="61"/>
  <c r="H236" i="61"/>
  <c r="H578" i="61"/>
  <c r="H609" i="61"/>
  <c r="H610" i="61"/>
  <c r="H31" i="61"/>
  <c r="G48" i="61"/>
  <c r="H48" i="61" s="1"/>
  <c r="F14" i="3"/>
  <c r="I704" i="2"/>
  <c r="J704" i="2" s="1"/>
  <c r="J705" i="2"/>
  <c r="J582" i="2"/>
  <c r="H569" i="2"/>
  <c r="J570" i="2"/>
  <c r="J578" i="2"/>
  <c r="I576" i="2"/>
  <c r="J577" i="2"/>
  <c r="I432" i="2"/>
  <c r="J383" i="2"/>
  <c r="H382" i="2"/>
  <c r="J382" i="2" s="1"/>
  <c r="J238" i="2"/>
  <c r="I36" i="2"/>
  <c r="J36" i="2" s="1"/>
  <c r="J60" i="2"/>
  <c r="I26" i="2"/>
  <c r="J26" i="2" s="1"/>
  <c r="J27" i="2"/>
  <c r="H14" i="2"/>
  <c r="J14" i="2" s="1"/>
  <c r="J15" i="2"/>
  <c r="G68" i="61"/>
  <c r="H68" i="61" s="1"/>
  <c r="F513" i="61"/>
  <c r="H513" i="61" s="1"/>
  <c r="G235" i="61"/>
  <c r="H235" i="61" s="1"/>
  <c r="G577" i="61"/>
  <c r="H577" i="61" s="1"/>
  <c r="G355" i="61"/>
  <c r="H355" i="61" s="1"/>
  <c r="G146" i="61"/>
  <c r="H146" i="61" s="1"/>
  <c r="G100" i="61"/>
  <c r="H100" i="61" s="1"/>
  <c r="G63" i="61"/>
  <c r="H63" i="61" s="1"/>
  <c r="H64" i="61"/>
  <c r="G43" i="61"/>
  <c r="H43" i="61" s="1"/>
  <c r="H44" i="61"/>
  <c r="G16" i="61"/>
  <c r="H16" i="61" s="1"/>
  <c r="H17" i="61"/>
  <c r="H448" i="2"/>
  <c r="H432" i="2" s="1"/>
  <c r="F140" i="61"/>
  <c r="F14" i="61" s="1"/>
  <c r="H35" i="2"/>
  <c r="H568" i="2" l="1"/>
  <c r="H431" i="2" s="1"/>
  <c r="H13" i="2" s="1"/>
  <c r="J569" i="2"/>
  <c r="I575" i="2"/>
  <c r="J576" i="2"/>
  <c r="J448" i="2"/>
  <c r="J432" i="2"/>
  <c r="I35" i="2"/>
  <c r="G141" i="61"/>
  <c r="H141" i="61" s="1"/>
  <c r="G576" i="61"/>
  <c r="H576" i="61" s="1"/>
  <c r="G234" i="61"/>
  <c r="H234" i="61" s="1"/>
  <c r="G15" i="61"/>
  <c r="H15" i="61" s="1"/>
  <c r="J575" i="2" l="1"/>
  <c r="I568" i="2"/>
  <c r="J35" i="2"/>
  <c r="G575" i="61"/>
  <c r="H575" i="61" s="1"/>
  <c r="H140" i="61"/>
  <c r="J568" i="2" l="1"/>
  <c r="I431" i="2"/>
  <c r="H556" i="61"/>
  <c r="J431" i="2" l="1"/>
  <c r="I13" i="2"/>
  <c r="J13" i="2" s="1"/>
  <c r="G14" i="61"/>
  <c r="H14" i="61" s="1"/>
  <c r="F53" i="1" l="1"/>
  <c r="G53" i="1" s="1"/>
  <c r="E53" i="1"/>
  <c r="F51" i="1"/>
  <c r="E51" i="1"/>
  <c r="F47" i="1"/>
  <c r="G47" i="1" s="1"/>
  <c r="E47" i="1"/>
  <c r="E44" i="1"/>
  <c r="F44" i="1"/>
  <c r="G44" i="1" s="1"/>
  <c r="F37" i="1"/>
  <c r="G37" i="1" s="1"/>
  <c r="E37" i="1"/>
  <c r="F27" i="1"/>
  <c r="E27" i="1"/>
  <c r="E23" i="1"/>
  <c r="G23" i="1" s="1"/>
  <c r="F15" i="1"/>
  <c r="E15" i="1"/>
  <c r="G27" i="1" l="1"/>
  <c r="G51" i="1"/>
  <c r="G15" i="1"/>
  <c r="F14" i="1"/>
  <c r="G14" i="1" s="1"/>
  <c r="E14" i="1"/>
</calcChain>
</file>

<file path=xl/sharedStrings.xml><?xml version="1.0" encoding="utf-8"?>
<sst xmlns="http://schemas.openxmlformats.org/spreadsheetml/2006/main" count="6701" uniqueCount="810">
  <si>
    <t>Развитие деятельности муниципального бюджетного учреждения Городской молодежный центр "Звездный"</t>
  </si>
  <si>
    <t>Транспорт</t>
  </si>
  <si>
    <t>Профессиональная подготовка, переподготовка и повышение квалификации</t>
  </si>
  <si>
    <t>Предоставление субсидий общественным организациям ветеранов войны, труда, вооруженных сил и правоохранительных органов, инвалидов и т.д.</t>
  </si>
  <si>
    <t>Другие вопросы в области национальной экономики</t>
  </si>
  <si>
    <t>Резервные фонды</t>
  </si>
  <si>
    <t>Массовый спорт</t>
  </si>
  <si>
    <t xml:space="preserve">Другие вопросы в области культуры, кинематографии </t>
  </si>
  <si>
    <t>Средства массовой информации</t>
  </si>
  <si>
    <t>13</t>
  </si>
  <si>
    <t>Обеспечение деятельности финансовых, налоговых и таможенных органов и органов (финансово-бюджетного) надзора</t>
  </si>
  <si>
    <t>Резервные фонды  местных администраций</t>
  </si>
  <si>
    <t>810</t>
  </si>
  <si>
    <t>Охрана семьи и детства</t>
  </si>
  <si>
    <t>Другие вопросы в области средств массовой информации</t>
  </si>
  <si>
    <t>Реализация государственных полномочий по созданию, исполнению полномочий и обеспечению деятельности комиссий по делам несовершеннолетних и защите их прав</t>
  </si>
  <si>
    <t>Осуществление  государственных полномочий Тверской области по созданию административных комиссий</t>
  </si>
  <si>
    <t>Функционирование высшего должностного лица субъекта Российской Федерации и муниципального образования</t>
  </si>
  <si>
    <t>Органы юстиции</t>
  </si>
  <si>
    <t>630</t>
  </si>
  <si>
    <t xml:space="preserve">Культура и кинематография </t>
  </si>
  <si>
    <t>Р</t>
  </si>
  <si>
    <t>Другие вопросы в области национальной безопасности и правоохранительной деятельности</t>
  </si>
  <si>
    <t>Содержание и ремонт детских и спортивных площадок</t>
  </si>
  <si>
    <t>Обустройство и ремонт контейнерных площадок</t>
  </si>
  <si>
    <t>9940000000</t>
  </si>
  <si>
    <t>Подпрограмма "Организация похоронного дела"</t>
  </si>
  <si>
    <t>П</t>
  </si>
  <si>
    <t>Сумма тыс.руб.</t>
  </si>
  <si>
    <t>Расходы на обеспечение деятельности представительного органа местного самоуправления</t>
  </si>
  <si>
    <t>Расходы на обеспечение деятельности исполнительного органа местного самоуправления</t>
  </si>
  <si>
    <t>0230000000</t>
  </si>
  <si>
    <t>0290000000</t>
  </si>
  <si>
    <t>0700000000</t>
  </si>
  <si>
    <t>0710000000</t>
  </si>
  <si>
    <t>0730000000</t>
  </si>
  <si>
    <t>1300000000</t>
  </si>
  <si>
    <t>1310000000</t>
  </si>
  <si>
    <t>1320000000</t>
  </si>
  <si>
    <t>Отдельные мероприятия, не включенные в муниципальные программы</t>
  </si>
  <si>
    <t>Реализация  функций, связанных с общегосударственным управлением</t>
  </si>
  <si>
    <t>Прочие выплаты по обязательствам муниципального образования</t>
  </si>
  <si>
    <t>Коммунальное хозяйство</t>
  </si>
  <si>
    <t>Жилищное хозяйство</t>
  </si>
  <si>
    <t>0220000000</t>
  </si>
  <si>
    <t>Финансовое обеспечение повышения квалификации и профессиональной подготовки педагогических кадров</t>
  </si>
  <si>
    <t>Организация отдыха детей</t>
  </si>
  <si>
    <t>Обеспечивающая подпрограмма</t>
  </si>
  <si>
    <t>Жилищно-коммунальное хозяйство</t>
  </si>
  <si>
    <t>Благоустройство</t>
  </si>
  <si>
    <t>Организационное и методическое сопровождение государственной итоговой аттестации</t>
  </si>
  <si>
    <t>1100000000</t>
  </si>
  <si>
    <t>1110000000</t>
  </si>
  <si>
    <t>1120000000</t>
  </si>
  <si>
    <t>1130000000</t>
  </si>
  <si>
    <t>1140000000</t>
  </si>
  <si>
    <t>1200000000</t>
  </si>
  <si>
    <t>1210000000</t>
  </si>
  <si>
    <t>1220000000</t>
  </si>
  <si>
    <t>1230000000</t>
  </si>
  <si>
    <t>0200000000</t>
  </si>
  <si>
    <t>0210000000</t>
  </si>
  <si>
    <t>Командирование спортсменов муниципального образования для участия в официальных областных спортивно-массовых мероприятиях и соревнованиях</t>
  </si>
  <si>
    <t>120</t>
  </si>
  <si>
    <t>Расходы на выплаты персоналу государственных (муниципальных) органов</t>
  </si>
  <si>
    <t>110</t>
  </si>
  <si>
    <t>0600000000</t>
  </si>
  <si>
    <t>0610000000</t>
  </si>
  <si>
    <t>0900000000</t>
  </si>
  <si>
    <t>0910000000</t>
  </si>
  <si>
    <t>0300000000</t>
  </si>
  <si>
    <t>0310000000</t>
  </si>
  <si>
    <t>1000000000</t>
  </si>
  <si>
    <t>1010000000</t>
  </si>
  <si>
    <t>0100000000</t>
  </si>
  <si>
    <t>0110000000</t>
  </si>
  <si>
    <t>0120000000</t>
  </si>
  <si>
    <t>0190000000</t>
  </si>
  <si>
    <t>Расходы на выплату персоналу государственных (муниципальных) органов</t>
  </si>
  <si>
    <t xml:space="preserve">                                                        </t>
  </si>
  <si>
    <t>Подпрограмма "Реализация социальной политики"</t>
  </si>
  <si>
    <t>360</t>
  </si>
  <si>
    <t>Иные выплаты населению</t>
  </si>
  <si>
    <t>Подпрограмма "Обеспечение жильем отдельных категорий граждан"</t>
  </si>
  <si>
    <t>870</t>
  </si>
  <si>
    <t>Резервные средства</t>
  </si>
  <si>
    <t>№ п/п</t>
  </si>
  <si>
    <t>01</t>
  </si>
  <si>
    <t>02</t>
  </si>
  <si>
    <t xml:space="preserve">                                 Наименование</t>
  </si>
  <si>
    <t>Общегосударственные вопросы</t>
  </si>
  <si>
    <t>В С Е Г О:</t>
  </si>
  <si>
    <t>03</t>
  </si>
  <si>
    <t>04</t>
  </si>
  <si>
    <t>05</t>
  </si>
  <si>
    <t>06</t>
  </si>
  <si>
    <t>Другие общегосударственные вопросы</t>
  </si>
  <si>
    <t>Национальная безопасность и правоохранительная деятельность</t>
  </si>
  <si>
    <t>09</t>
  </si>
  <si>
    <t>Национальная экономика</t>
  </si>
  <si>
    <t>08</t>
  </si>
  <si>
    <t>11</t>
  </si>
  <si>
    <t>Сельское хозяйство и рыболовство</t>
  </si>
  <si>
    <t>07</t>
  </si>
  <si>
    <t>Образование</t>
  </si>
  <si>
    <t>Культура</t>
  </si>
  <si>
    <t>Дошкольное образование</t>
  </si>
  <si>
    <t>Общее образование</t>
  </si>
  <si>
    <t>Другие вопросы в области образования</t>
  </si>
  <si>
    <t>10</t>
  </si>
  <si>
    <t>Социальная политика</t>
  </si>
  <si>
    <t>Пенсионное обеспечение</t>
  </si>
  <si>
    <t>КВР</t>
  </si>
  <si>
    <t>Глава муниципального образования</t>
  </si>
  <si>
    <t>Центральный аппарат</t>
  </si>
  <si>
    <t>Социальное обеспечение населения</t>
  </si>
  <si>
    <t xml:space="preserve"> Р</t>
  </si>
  <si>
    <t xml:space="preserve"> П</t>
  </si>
  <si>
    <t xml:space="preserve"> КЦСР</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</si>
  <si>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</si>
  <si>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14</t>
  </si>
  <si>
    <t>12</t>
  </si>
  <si>
    <t>Физическая культура и спорт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</si>
  <si>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</si>
  <si>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финансовых, налоговых и таможенных органов и органов финансового (финансово-бюджетного) надзора</t>
  </si>
  <si>
    <t>Защита населения и территории от чрезвычайных ситуаций природного и техногенного характера, гражданская оборона</t>
  </si>
  <si>
    <t>Функционирование законодательных (представительных) органов государственной власти и представительных органов муниципальных образований</t>
  </si>
  <si>
    <t>ППП</t>
  </si>
  <si>
    <t>Расходы на выплаты персоналу казенных учреждений</t>
  </si>
  <si>
    <t>850</t>
  </si>
  <si>
    <t>Уплата налогов, сборов и иных платежей</t>
  </si>
  <si>
    <t>Финансовое обеспечение массовых мероприятий муниципального значения, способствующих духовно-нравственному воспитанию детей и формированию гражданской позиции</t>
  </si>
  <si>
    <t>Финансовое обеспечение мероприятий по формированию здорового образа жизни</t>
  </si>
  <si>
    <t>Организационно-методическое сопровождение организации и обеспечения подвоза учащихся и воспитанников общеобразовательных, дошкольных образовательных учреждений</t>
  </si>
  <si>
    <t xml:space="preserve"> Приложение 1</t>
  </si>
  <si>
    <t>Удомельская городская Дума</t>
  </si>
  <si>
    <t>Председатель городской Думы</t>
  </si>
  <si>
    <t>2018 год</t>
  </si>
  <si>
    <t>2019 год</t>
  </si>
  <si>
    <t xml:space="preserve">Расходы, не включенные в муниципальные программы </t>
  </si>
  <si>
    <t>Расходы, не включенные в муниципальные программы</t>
  </si>
  <si>
    <t>0800000000</t>
  </si>
  <si>
    <t>0810000000</t>
  </si>
  <si>
    <t>Подпрограмма "Расселение аварийного жилищного фонда Удомельского городского округа"</t>
  </si>
  <si>
    <t>Подпрограмма "Капитальный ремонт общего имущества в многоквартирных домах на территории Удомельского городского округа"</t>
  </si>
  <si>
    <t>0510000000</t>
  </si>
  <si>
    <t>0520000000</t>
  </si>
  <si>
    <t>0530000000</t>
  </si>
  <si>
    <t>Уплата взносов на проведение капитального ремонта общего имущества в многоквартирных домах, в части муниципального жилищного фонда Удомельского городского округа</t>
  </si>
  <si>
    <t>0500000000</t>
  </si>
  <si>
    <t>Молодежная политика</t>
  </si>
  <si>
    <t>Дополнительное образование детей</t>
  </si>
  <si>
    <t>Подпрограмма "Управление имуществом Удомельского городского округа"</t>
  </si>
  <si>
    <t>Проведение инвентаризации муниципального имущества Удомельского городского округа</t>
  </si>
  <si>
    <t xml:space="preserve">Оценка рыночной стоимости объектов недвижимости и рыночной стоимости арендной платы за объекты муниципального имущества </t>
  </si>
  <si>
    <t>Обеспечение учета муниципального имущества для поддержки полной и достоверной информации об объектах, находящихся в собственности муниципального образования Удомельский городской округ</t>
  </si>
  <si>
    <t>Содержание объектов нежилого фонда муниципальной казны Удомельского городского округа</t>
  </si>
  <si>
    <t>Подпрограмма "Управление земельными ресурсами Удомельского городского округа"</t>
  </si>
  <si>
    <t>0320000000</t>
  </si>
  <si>
    <t>Организация работ по формированию земельных участков, в том числе по объектам жилищно-коммунального хозяйства</t>
  </si>
  <si>
    <t>Подпрограмма "Сохранность автомобильных дорог общего пользования местного значения на территории Удомельского городского округа"</t>
  </si>
  <si>
    <t>Подпрограмма "Поддержка средств массовой информации муниципального образования Удомельский городской округ"</t>
  </si>
  <si>
    <t>Формирование земельных участков для бесплатного предоставления многодетным гражданам</t>
  </si>
  <si>
    <t>Приобретение  жилых помещений для детей-сирот, детей, оставшихся без попечения родителей за счет средств областного бюджета Тверской области</t>
  </si>
  <si>
    <t>Финансирование расходов на борьбу с борщевиком Сосновского</t>
  </si>
  <si>
    <t>Сохранение и развитие библиотечного дела в Удомельском городском округе</t>
  </si>
  <si>
    <t>Подпрограмма "Культура Удомельского городского округа"</t>
  </si>
  <si>
    <t>Организация и проведение культурно-досуговых мероприятий и развитие народного творчества в Удомельском городском округе</t>
  </si>
  <si>
    <t>Развитие дополнительного образования в сфере культуры и искусства</t>
  </si>
  <si>
    <t>Популяризация и пропаганда деятельности по сохранению объектов культурного наследия Удомельского городского округа</t>
  </si>
  <si>
    <t xml:space="preserve"> Управление культуры, спорта и молодежной политики Администрации Удомельского городского округа</t>
  </si>
  <si>
    <t>Проведение официальных муниципальных физкультурно-оздоровительных и спортивных мероприятий для всех возрастных групп и категорий населения муниципального образования Удомельского городского округа</t>
  </si>
  <si>
    <t xml:space="preserve">Подпрограмма "Молодежь Удомельского городского округа" </t>
  </si>
  <si>
    <t>Организация и проведение творческих  мероприятий для детей и молодежи</t>
  </si>
  <si>
    <t xml:space="preserve">Подпрограмма "Противодействие незаконному обороту наркотиков, наркомании, алкоголизму, табакокурению и другим видам зависимости в Удомельском городском округе" </t>
  </si>
  <si>
    <t>Проведение мероприятий для подростков и молодежи, направленных на формирование здорового образа жизни и  негативного отношения к наркомании, алкоголизму , табакокурению. Поддержка детского и молодежного самодеятельного творчества</t>
  </si>
  <si>
    <t>Социальная реклама</t>
  </si>
  <si>
    <t>Финансовое обеспечение компенсации расходов на оплату жилых помещений, отопления и освещения педагогическим работникам образовательных учреждений, проживающим и работающим в сельских населенных пунктах Удомельского городского округа</t>
  </si>
  <si>
    <t>Финансовое обеспечение деятельности муниципального центра тестирования ГТО</t>
  </si>
  <si>
    <t>Содержание автомобильных дорог общего пользования регионального и межмуниципального значения Тверской области 3 класса на территории Удомельского городского округа</t>
  </si>
  <si>
    <t>Содержание улично-дорожной сети в городе Удомля</t>
  </si>
  <si>
    <t>Подпрограмма "Организации регулярных перевозок пассажиров и багажа автомобильным транспортом на территории Удомельского городского округа"</t>
  </si>
  <si>
    <t>Подпрограмма "Общественная безопасность и профилактика правонарушений на территории Удомельского городского округа"</t>
  </si>
  <si>
    <t>Обслуживание газового хозяйства северной части города Удомля</t>
  </si>
  <si>
    <t>Разработка и актуализация схем теплоснабжения, водоснабжения Удомельского городского округа</t>
  </si>
  <si>
    <t>Организация и содержание мест захоронений (кладбищ)</t>
  </si>
  <si>
    <t>Финансирование расходов по проведению субботников</t>
  </si>
  <si>
    <t>Изготовление наглядной агитации: памятки,плакаты,рекламные щиты</t>
  </si>
  <si>
    <t>9950000000</t>
  </si>
  <si>
    <t>Казенные учреждения, не включенные в муниципальные программы</t>
  </si>
  <si>
    <t>Администрация Удомельского городского округа</t>
  </si>
  <si>
    <t>Финансовое Управление Администрации Удомельского городского округа</t>
  </si>
  <si>
    <t>Дорожное хозяйство (дорожные фонды)</t>
  </si>
  <si>
    <t>Подпрограмма "Повышение пожарной безопасности на территории Удомельского городского округа"</t>
  </si>
  <si>
    <t>Контрольно-счетная комиссия Удомельского городского округа</t>
  </si>
  <si>
    <t>Подпрограмма "Физическая культура и спорт  Удомельского городского округа"</t>
  </si>
  <si>
    <t>Приобретение жилых помещений для малоимущих многодетных семей за счет местного бюджета</t>
  </si>
  <si>
    <t>Подпрограмма "Снижение рисков и смягчение последствий чрезвычайных ситуаций на территории Удомельского городского округа"</t>
  </si>
  <si>
    <t>Подпрограмма "Осуществление мероприятий по обеспечению безопасности людей на водных объектах Удомельского городского округа"</t>
  </si>
  <si>
    <t>Оснащение и модернизация сил и средств для оповещения населения об угрозе возникновения или о возникновении чрезвычайных ситуаций</t>
  </si>
  <si>
    <t>Организация и проведение акций, посвященных памятным датам истории России, государственным символам Российской Федерации</t>
  </si>
  <si>
    <t>Управление образования  Администрации Удомельского городского округа</t>
  </si>
  <si>
    <t>0210100000</t>
  </si>
  <si>
    <t>0230100000</t>
  </si>
  <si>
    <t>0810100000</t>
  </si>
  <si>
    <t>240</t>
  </si>
  <si>
    <t>Иные закупки товаров, работ и услуг для обеспечения государственных (муниципальных) нужд</t>
  </si>
  <si>
    <t>Задача "Сохранение и развитие культурного потенциала Удомельского городского округа"</t>
  </si>
  <si>
    <t>0920000000</t>
  </si>
  <si>
    <t>Организация транспортного обслуживания населения на муниципальных маршрутах регулярных перевозок по регулируемым тарифам на территории Удомельского городского округа</t>
  </si>
  <si>
    <t>Подпрограмма "Создание условий для формирования современной городской среды и обустройства мест массового отдыха населения (общественной территории) на территории Удомельского городского округа"</t>
  </si>
  <si>
    <t>Оснащение сил и средств гражданской обороны, создание материальных запасов</t>
  </si>
  <si>
    <t>1110100000</t>
  </si>
  <si>
    <t>1120100000</t>
  </si>
  <si>
    <t>1130100000</t>
  </si>
  <si>
    <t>Информирование населения по противодействию терроризму и экстремизму</t>
  </si>
  <si>
    <t>Задача "Создание необходимых условий для обеспечения безопасности людей на водных объектах Удомельского городского округа</t>
  </si>
  <si>
    <t>Информирование населения по безопасному нахождению на водных объектах</t>
  </si>
  <si>
    <t>Субсидии бюджетным учреждениям</t>
  </si>
  <si>
    <t>610</t>
  </si>
  <si>
    <t>1010100000</t>
  </si>
  <si>
    <t>1600000000</t>
  </si>
  <si>
    <t>1610000000</t>
  </si>
  <si>
    <t>Подпрограмма "Повышение безопасности дорожного движения на территории Удомельского городского округа"</t>
  </si>
  <si>
    <t>1610100000</t>
  </si>
  <si>
    <t>Задача "Профилактика дорожно-транспортных происшествий на территории Удомельского городского округа"</t>
  </si>
  <si>
    <t>Подпрограмма "Поддержка средств массовой информации муниципального образования  Удомельского городского округа"</t>
  </si>
  <si>
    <t>Задача "Создание эффективной системы обеспечения населения качественными и доступными услугами, поддержка отдельных категорий граждан"</t>
  </si>
  <si>
    <t>Задача "Обслуживание действующего емкостного газового хозяйства северной части города Удомля"</t>
  </si>
  <si>
    <t>0710100000</t>
  </si>
  <si>
    <t>0730100000</t>
  </si>
  <si>
    <t>1210100000</t>
  </si>
  <si>
    <t>Озеленение видовых и памятных мест на территории города, в том числе приобретение, посадка цветов, уход за ними, покос травы, стрижка кустов и спиливание деревьев</t>
  </si>
  <si>
    <t>Наружное оформление территорий города Удомля</t>
  </si>
  <si>
    <t>1220100000</t>
  </si>
  <si>
    <t>Задача "Содержание мест захоронений"</t>
  </si>
  <si>
    <t>1230100000</t>
  </si>
  <si>
    <t>Задача "Предотвращение и ликвидация вредного воздействия отходов производства и потребления на окружающую среду"</t>
  </si>
  <si>
    <t>0310100000</t>
  </si>
  <si>
    <t>Задача "Оптимизация состава муниципального имущества Удомельского городского округа"</t>
  </si>
  <si>
    <t>0310200000</t>
  </si>
  <si>
    <t>Задача "Повышение эффективности использования имущества, находящегося в собственности муниципального образования Удомельский городской округ"</t>
  </si>
  <si>
    <t>0320100000</t>
  </si>
  <si>
    <t>Бюджетные инвестиции</t>
  </si>
  <si>
    <t>410</t>
  </si>
  <si>
    <t>Социальные выплаты гражданам, кроме публичных нормативных социальных выплат</t>
  </si>
  <si>
    <t>Подпрограмма" Профилактика терроризма и экстремизма на территории Удомельского городского округа"</t>
  </si>
  <si>
    <t>Изготовление наглядной агитации: памятки, плакаты, рекламные щиты</t>
  </si>
  <si>
    <t>0210200000</t>
  </si>
  <si>
    <t>Задача "Укрепление и модернизация материально-технической базы муниципальных учреждений культуры Удомельского городского округа"</t>
  </si>
  <si>
    <t>0210300000</t>
  </si>
  <si>
    <t>Задача "Сохранение культурного наследия Удомельского городского округа"</t>
  </si>
  <si>
    <t>0220100000</t>
  </si>
  <si>
    <t>Задача "Развитие массового спорта и физкультурно-оздоровительного движения среди всех возрастных групп и категорий населения Удомельского городского округа, включая лиц с ограниченными физическими возможностями и инвалидов"</t>
  </si>
  <si>
    <t>0230200000</t>
  </si>
  <si>
    <t>Задача "Создание условий для повышения качества и разнообразия услуг, предоставляемых в сфере молодежной политики, удовлетворения потребностей в развитии и реализации духовного потенциала молодежи"</t>
  </si>
  <si>
    <t>320</t>
  </si>
  <si>
    <t>Расходы на руководство и управление администратора программы (Управление культуры, спорта и молодежной политики Администрации Удомельского городского округа)</t>
  </si>
  <si>
    <t>0510100000</t>
  </si>
  <si>
    <t>Содержания муниципальных жилых помещений до момента их предоставления в пользование гражданам</t>
  </si>
  <si>
    <t>Задача  "Обеспечение содержания и сохранности муниципального жилищного фонда"</t>
  </si>
  <si>
    <t>Задача  "Проведение текущего ремонта жилых помещений муниципального жилищного фонда"</t>
  </si>
  <si>
    <t>0520100000</t>
  </si>
  <si>
    <t>Задача "Выявление аварийного жилищного фонда"</t>
  </si>
  <si>
    <t>0520200000</t>
  </si>
  <si>
    <t xml:space="preserve"> Наименование</t>
  </si>
  <si>
    <t xml:space="preserve"> Бюджетные инвестиции</t>
  </si>
  <si>
    <t>0530100000</t>
  </si>
  <si>
    <t>0530200000</t>
  </si>
  <si>
    <t>1310100000</t>
  </si>
  <si>
    <t>Задача "Содействие в решении жилищных проблем малоимущих многодетных семей"</t>
  </si>
  <si>
    <t>1310200000</t>
  </si>
  <si>
    <t>1320200000</t>
  </si>
  <si>
    <t>310</t>
  </si>
  <si>
    <t>Публичные нормативные социальные выплаты гражданам</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</si>
  <si>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</si>
  <si>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0110200000</t>
  </si>
  <si>
    <t>0110300000</t>
  </si>
  <si>
    <t>Расходы на обеспечение деятельности казенного учреждения Централизованная бухгалтерия</t>
  </si>
  <si>
    <t>Содержание казенных учреждений</t>
  </si>
  <si>
    <t>Финансовое обеспечение муниципального задания на оказание муниципальных услуг (выполнение работ) муниципальных бюджетных общеобразовательных учреждений</t>
  </si>
  <si>
    <t>0120100000</t>
  </si>
  <si>
    <t>Судебная система</t>
  </si>
  <si>
    <t>1210200000</t>
  </si>
  <si>
    <t>Задача "Благоустройство и наружное оформление территории города Удомля"</t>
  </si>
  <si>
    <t>1140100000</t>
  </si>
  <si>
    <t>Задача "Осуществление подготовки и содержания в готовности необходимых сил и средств для защиты населения и территории Удомельского городского округа от чрезвычайных ситуаций"</t>
  </si>
  <si>
    <t>Задача "Эффективное управление муниципальными унитарными предприятиями"</t>
  </si>
  <si>
    <t>Выполнение работ по содержанию автомобильных дорог общего пользования местного значения и сооружений на них, нацеленное на обеспечение их проезжаемости и безопасности до сельских населенных пунктов"</t>
  </si>
  <si>
    <t>0910100000</t>
  </si>
  <si>
    <t>Задача "Развитие автомобильного транспорта"</t>
  </si>
  <si>
    <t>Подпрограмма "Содержание и ремонт муниципального жилищного фонда Удомельского городского округа"</t>
  </si>
  <si>
    <t>0510200000</t>
  </si>
  <si>
    <t>Определение стоимости возмещения за жилое помещение в аварийном жилищном фонде Удомельского городского округа</t>
  </si>
  <si>
    <t>1310300000</t>
  </si>
  <si>
    <t>Задача "Осуществление взаимодействия с общественными организациями по реализации социально значимых мероприятий"</t>
  </si>
  <si>
    <t>Задача "Распределение объемов энергоресурсов на инженерных сетях Удомельского городского округа"</t>
  </si>
  <si>
    <t>Задача "Создание необходимых условий по обеспечению пожарной безопасности на территории  Удомельского городского округа"</t>
  </si>
  <si>
    <t>Санитарная очистка города (сбор, вывоз, утилизация ТКО и КГМ)</t>
  </si>
  <si>
    <t>09201S0300</t>
  </si>
  <si>
    <t>13101S0290</t>
  </si>
  <si>
    <t>Задача "Содержание автомобильных дорог и сооружений на них в границах Удомельского городского округа"</t>
  </si>
  <si>
    <t>Финансовое обеспечение мероприятий по подвозу учащихся из средств областного бюджета</t>
  </si>
  <si>
    <t>Задача "Организация и проведение патриотических и творческих мероприятий"</t>
  </si>
  <si>
    <t>Задача "Эффективное управление и распоряжение муниципальными земельными участками и земельными участками, государственная собственность на которые не разграничена"</t>
  </si>
  <si>
    <t>Задача "Реализация механизма проведения капитального ремонта общего имущества в многоквартирных домах, в соответствии с действующим законодательством Российской Федерации"</t>
  </si>
  <si>
    <t>Задача "Проведение профилактических мероприятий по предупреждению террористических и экстремистских проявлений на территории Удомельского городского округа"</t>
  </si>
  <si>
    <t>Приобретение  жилых помещений для детей-сирот, детей, оставшихся без попечения родителей</t>
  </si>
  <si>
    <t>Задача "Проведение работы по профилактике распространения наркомании, алкоголизма и связанных с ними правонарушений</t>
  </si>
  <si>
    <t xml:space="preserve"> Приложение 6</t>
  </si>
  <si>
    <t>Повышение заработной платы работникам муниципальных учреждений культуры  из бюджета Удомельского городского округа</t>
  </si>
  <si>
    <t>Повышение заработной платы из областного бюджета работникам учреждений дополнительного образования в сфере культуры и искусства Удомельского городского округа</t>
  </si>
  <si>
    <t>Повышение заработной платы работникам учреждений дополнительного образования в сфере культуры и искусства из бюджета Удомельского городского округа</t>
  </si>
  <si>
    <t xml:space="preserve">Реализация мероприятий по благоустройству общественных территорий </t>
  </si>
  <si>
    <t xml:space="preserve">Предоставление молодым семьям Удомельского городского округа социальных выплат на приобретение (строительство) жилья </t>
  </si>
  <si>
    <t>Субсидии юридическим лицам (кроме некоммерческих организаций), индивидуальным предпринимателям, физическим лицам - производителям товаров,работ,услуг</t>
  </si>
  <si>
    <t>код</t>
  </si>
  <si>
    <t>000 01 05 00 00 00 0000 000</t>
  </si>
  <si>
    <t>Изменение остатков средств на счетах по учету средств бюджета</t>
  </si>
  <si>
    <t>000 01 05 00 00 00 0000 500</t>
  </si>
  <si>
    <t>Увеличение остатков средств бюджетов</t>
  </si>
  <si>
    <t>Увеличение прочих остатков денежных средств бюджетов городских округов</t>
  </si>
  <si>
    <t>000 01 05 00 00 00 0000 600</t>
  </si>
  <si>
    <t>Уменьшение остатков средств бюджетов</t>
  </si>
  <si>
    <t>Уменьшение прочих остатков денежных средств бюджетов городских округов</t>
  </si>
  <si>
    <t xml:space="preserve"> Итого источники финансирования дефицита бюджета </t>
  </si>
  <si>
    <t>Содержание светофорного регулирования</t>
  </si>
  <si>
    <t>13103L4970</t>
  </si>
  <si>
    <t>Задача "Обеспечение жильем молодых семей Удомельского городского округа "</t>
  </si>
  <si>
    <t>0110100000</t>
  </si>
  <si>
    <t>Страхование газового хозяйства северной части города Удомля</t>
  </si>
  <si>
    <t>Задача "Содержание действующего емкостного газового хозяйства северной части города Удомля"</t>
  </si>
  <si>
    <t>Проведение текущего ремонта муниципального жилого фонда</t>
  </si>
  <si>
    <t>13102R0820</t>
  </si>
  <si>
    <t>Задача "Вовлечение земельных участков в хозяйственный оборот"</t>
  </si>
  <si>
    <t>Задача "Профилактика  совершения правонарушений и преступлений в общественных местах"</t>
  </si>
  <si>
    <t>Предоставление компенсаций членам добровольной народной дружины Удомельского городского округа, участвовавшим в охране общественного порядка</t>
  </si>
  <si>
    <t>Нанесение осевой горизонтальной разметки  на территории  Удомельского городского округа</t>
  </si>
  <si>
    <t>0320200000</t>
  </si>
  <si>
    <t>Подпрограмма "Развитие инженерных сетей округа"</t>
  </si>
  <si>
    <t>09101S1050</t>
  </si>
  <si>
    <t>Выполнение работ по ремонту дорог общего пользования</t>
  </si>
  <si>
    <t>Ремонт автомобильных дорог за счет средств областного бюджета</t>
  </si>
  <si>
    <t>Ремонт дворовых территорий многоквартирных домов, проездов к дворовым территориям многоквартирных домов</t>
  </si>
  <si>
    <t>09101S1020</t>
  </si>
  <si>
    <t>Ремонт дворовых территорий многоквартирных домов, проездов к дворовым территориям многоквартирных домов за счет средств областного бюджета</t>
  </si>
  <si>
    <t>Обеспечение безопасности дорожного движения на автомобильных дорогах общего пользования местного значения за счет средств областного бюджета</t>
  </si>
  <si>
    <t>141F255552</t>
  </si>
  <si>
    <t xml:space="preserve">Обеспечение безопасности дорожного движения на автомобильных дорогах общего пользования местного значения </t>
  </si>
  <si>
    <t>Повышение заработной платы из областного бюджета работникам муниципальных учреждений культуры Удомельского городского округа</t>
  </si>
  <si>
    <t xml:space="preserve">Предоставление субсидии  из бюджета Удомельского  городского округа на поддержку некоммерческих организаций </t>
  </si>
  <si>
    <t>161R3S1090</t>
  </si>
  <si>
    <t>161R311090</t>
  </si>
  <si>
    <t>350</t>
  </si>
  <si>
    <t>Премии и гранты</t>
  </si>
  <si>
    <t>Муниципальные программы</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</si>
  <si>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</si>
  <si>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Подпрограмма "Реализация Программы поддержки местных инициатив Тверской области на территории Удомельского городского округа"</t>
  </si>
  <si>
    <t>Пенсии за выслугу лет муниципальным служащим</t>
  </si>
  <si>
    <t>Задача "Повышение уровня благоустройства общественных территорий  в соответствии с едиными требованиями и внедрение цифровых сервисов и современных технологий, направленных на создание благоприятной (комфортной) городской среды"</t>
  </si>
  <si>
    <t>Осуществление переданных полномочий Российской Федерации на государственную регистрацию актов гражданского состояния</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</si>
  <si>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</si>
  <si>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Обеспечение развития и укрепления материально-технической базы домов культуры в населенных пунктах с числом жителей до 50 тысяч человек</t>
  </si>
  <si>
    <t>0730200000</t>
  </si>
  <si>
    <t>0720000000</t>
  </si>
  <si>
    <t>Строительство объектов водоснабжения и водоотведения</t>
  </si>
  <si>
    <t>к решению Удомельской городской Думы</t>
  </si>
  <si>
    <t>Организация бесплатного горячего питания обучающихся, получающих начальное общее образование в муниципальных образовательных учреждениях</t>
  </si>
  <si>
    <t>Защита населения и территории от чрезвычайных ситуаций природного и техногенного характера,  пожарная безопасность</t>
  </si>
  <si>
    <t>Ремонт автомобильных дорог на территории г.Удомля</t>
  </si>
  <si>
    <t>Поддержка волонтерского движения</t>
  </si>
  <si>
    <t>Муниципальная программа "Создание условий для экономического развития Удомельского городского округа на 2022-2027 годы"</t>
  </si>
  <si>
    <t>141F200000</t>
  </si>
  <si>
    <t>Задача "Реализация  проекта "Формирование комфортной городской среды" в рамках национального проекта "Жилье и городская среда"</t>
  </si>
  <si>
    <t>Обеспечение государственных гарантий реализации прав на получение бесплатного дошкольного образования  за счет средств областного бюджета</t>
  </si>
  <si>
    <t>0110110740</t>
  </si>
  <si>
    <t>Финансовое обеспечение муниципального задания на оказание муниципальных услуг (выполнение работ) муниципальных бюджетных образовательных учреждений дошкольного образования</t>
  </si>
  <si>
    <t>0110121100</t>
  </si>
  <si>
    <t>Задача "Развитие инфраструктуры дошкольных образовательных учреждений"</t>
  </si>
  <si>
    <t>Финансовое обеспечение мероприятий капитального и (или) текущего ремонтов муниципальных дошкольных образовательных учреждений</t>
  </si>
  <si>
    <t>0110221210</t>
  </si>
  <si>
    <t>Задача " Содействие развитию системы дошкольного образования"</t>
  </si>
  <si>
    <t>Компенсация части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</si>
  <si>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0110310500</t>
  </si>
  <si>
    <t>Подпрограмма "Развитие системы дошкольного образования"</t>
  </si>
  <si>
    <t>Задача "Обеспечение качества условий предоставления образовательных услуг учреждениями дошкольного образования"</t>
  </si>
  <si>
    <t>Задача "Обеспечение качества условий предоставления образовательных услуг муниципальными бюджетными общеобразовательными учреждениямиг"</t>
  </si>
  <si>
    <t>Обеспечение государственных гарантий реализации прав на получение бесплатного начального общего, основного общего и среднего общего образования  за счет средств областного бюджета</t>
  </si>
  <si>
    <t>0120110750</t>
  </si>
  <si>
    <t>0120121100</t>
  </si>
  <si>
    <t xml:space="preserve"> Ежемесячное денежное вознаграждение за классное руководство педагогическим работникам муниципальных образовательных учреждений</t>
  </si>
  <si>
    <t>0120153031</t>
  </si>
  <si>
    <t>Задача "Развитие инфраструктуры муниципальных общеобразовательных учреждений"</t>
  </si>
  <si>
    <t>0120200000</t>
  </si>
  <si>
    <t>0120221210</t>
  </si>
  <si>
    <t>Финансовое обеспечение мероприятий капитального и (или) текущего ремонтов муниципальных  общеобразовательных учреждений</t>
  </si>
  <si>
    <t>0120300000</t>
  </si>
  <si>
    <t>0120310250</t>
  </si>
  <si>
    <t>Задача "Обеспечение доступности  транпортных услуг в общеобразовательных учреждениях в части  подвоза обучающихся к месту обучения и обратно"</t>
  </si>
  <si>
    <t>01203S0250</t>
  </si>
  <si>
    <t>0120321260</t>
  </si>
  <si>
    <t>0120400000</t>
  </si>
  <si>
    <t>Задача "Обеспечение деятельности по сохранению и укреплению здоровья школьников, формирование основ здорового образа жизни"</t>
  </si>
  <si>
    <t>01204S0240</t>
  </si>
  <si>
    <t xml:space="preserve"> Финансирование обеспечение отдыха, оздоровления и занятости детей и подростков</t>
  </si>
  <si>
    <t>0120410240</t>
  </si>
  <si>
    <t>0130000000</t>
  </si>
  <si>
    <t>Подпрограмма "Развитие системы дополнительного образования и воспитания детей"</t>
  </si>
  <si>
    <t>Задача "Обеспечение качества условий предоставления образовательных услуг учреждениями дополнительного образования"</t>
  </si>
  <si>
    <t xml:space="preserve"> Финансовое обеспечение муниципального задания на оказание муниципальных услуг (выполнение работ) муниципальных бюджетных учреждений дополнительного образования</t>
  </si>
  <si>
    <t>0130121100</t>
  </si>
  <si>
    <t>0130100000</t>
  </si>
  <si>
    <t>0130110690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</si>
  <si>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областного бюджета</t>
  </si>
  <si>
    <t>01301S0690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</si>
  <si>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бюджета округа</t>
  </si>
  <si>
    <t>Задача "Обеспечение доступности  направлений дополнительного образования"</t>
  </si>
  <si>
    <t>0130300000</t>
  </si>
  <si>
    <t>Финансовое обеспечение участия в спортивных мероприятиях регионального,всероссийского, международного уровней</t>
  </si>
  <si>
    <t>0130321400</t>
  </si>
  <si>
    <t>0130321500</t>
  </si>
  <si>
    <t>Финансовое обеспечение муниципального мероприятия "День защиты детей"</t>
  </si>
  <si>
    <t>Подпрограмма "Создание современной образовательной среды"</t>
  </si>
  <si>
    <t>0140000000</t>
  </si>
  <si>
    <t>0140100000</t>
  </si>
  <si>
    <t>Финансовое обеспечение поощрения лучших педагогов,работающих в муниципальной сети профильных курсов</t>
  </si>
  <si>
    <t>Финансовое обеспечение участия педагогов и обучающихся в региональных и межрегиональных мероприятиях в рамках регионального проекта "Цифровая образовательная среда"</t>
  </si>
  <si>
    <t>0140200000</t>
  </si>
  <si>
    <t>Задача "Создание условий для непрывного развития кадрового потенциала отрасли "Образование"</t>
  </si>
  <si>
    <t>0140300000</t>
  </si>
  <si>
    <t>Задача "Создание условий для воспитания гармочно развитой  и социально ориентированной личности"</t>
  </si>
  <si>
    <t>Финансовое обеспечение проведения муниципальных мероприятий с одаренными и высокомотивированными обучающимися, воспитанниками, организация их участия в региональных, всероссийскмх мероприятиях</t>
  </si>
  <si>
    <t>01403S1080</t>
  </si>
  <si>
    <t>Финансовое обеспечение участия детей и подростков в социально-значимых региональных проектах из бюджета Удомельского городского округа</t>
  </si>
  <si>
    <t xml:space="preserve"> Организация участия детей и подростков в социально-значимых региональных проектах</t>
  </si>
  <si>
    <t xml:space="preserve"> Расходы на руководство и управление главного администратора программы (Управление образования Администрации Удомельского городского округа)</t>
  </si>
  <si>
    <t>02101S0680</t>
  </si>
  <si>
    <t>Задача "Развитие художественно-эстетического округа"</t>
  </si>
  <si>
    <t>02102S0690</t>
  </si>
  <si>
    <t>02103L4670</t>
  </si>
  <si>
    <t>Финансовое обеспечение мероприятий капитального и (или) текущего ремонтов муниципальных  учреждений культуры</t>
  </si>
  <si>
    <t>0210321210</t>
  </si>
  <si>
    <t>0210600000</t>
  </si>
  <si>
    <t>0210623035</t>
  </si>
  <si>
    <t>0220123040</t>
  </si>
  <si>
    <t>0220123045</t>
  </si>
  <si>
    <t>0230123050</t>
  </si>
  <si>
    <t>0230123055</t>
  </si>
  <si>
    <t>0230123065</t>
  </si>
  <si>
    <t xml:space="preserve"> Финансовое обеспечение мероприятий капитального и (или) текущего ремонтов муниципальных  учреждений  в сфере молодежной политики</t>
  </si>
  <si>
    <t>Задача "Укрепление и модернизация материально-технической базы муниципальных учреждений  в сфере молодежной политикиУдомельского городского округа"</t>
  </si>
  <si>
    <t>0230300000</t>
  </si>
  <si>
    <t>0310123171</t>
  </si>
  <si>
    <t>0310223172</t>
  </si>
  <si>
    <t>0310223173</t>
  </si>
  <si>
    <t>0320123190</t>
  </si>
  <si>
    <t>0320223195</t>
  </si>
  <si>
    <t>Подпрограмма "Создание условий для развития экономического потенциала и формирования благоприятного предпринимательского климата"</t>
  </si>
  <si>
    <t>Задача "Предотвращение распространения борщевика Сосновского на территории Удомельского городского округа"</t>
  </si>
  <si>
    <t xml:space="preserve"> Создание и развитие школы малого и среднего предпринимательства</t>
  </si>
  <si>
    <t>Задача "Управление качеством образования"</t>
  </si>
  <si>
    <t>Задача "Развитие и поддержка субъектов малого и среднего предпринимательства и самозанятых в Удомельском городском округе"</t>
  </si>
  <si>
    <t>Задача "Расширение доступа субъектов малого и среднего предпринимательства и самозанятых к финансовым ресурсам"</t>
  </si>
  <si>
    <t>0410300000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</si>
  <si>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проведение профилактических, противоэпизодических, противоинфекционных мероприятий</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</si>
  <si>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оказание поддержки по сохранению поголовья сельскохозяйственных животных</t>
  </si>
  <si>
    <t>Задача "Повышение качества, оперативности и обеспечение стабильности и регулярности информирования населения Удомельского городского округа о деятельности органов государственной власти Тверской области, местного самоуправления Удомельского городского округа в печатных изданиях"</t>
  </si>
  <si>
    <t>04201S0320</t>
  </si>
  <si>
    <t xml:space="preserve">Предоставление субсидии из областного бюджета на поддержку некоммерческих организаций </t>
  </si>
  <si>
    <t>Задача "Повышение качества, оперативности и обеспечение стабильности и регулярности информирования населения Удомельского городского округа о деятельности органов государственной власти Тверской области, местного самоуправления Удомельского городского округа в телевизиооном и радиоэфире"</t>
  </si>
  <si>
    <t xml:space="preserve">Подпрограмма "Предоставление субсидий муниципальным унитарным предприятиям на возмещение нормативных затрат, связанных с оказанием ими услуг,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для граждан" </t>
  </si>
  <si>
    <t>Другие вопросы в области жилищно-коммунального хозяйства</t>
  </si>
  <si>
    <t>Предоставление субсидий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туалета общественного пользования  в городе Удомля</t>
  </si>
  <si>
    <t>0510123251</t>
  </si>
  <si>
    <t>0510223252</t>
  </si>
  <si>
    <t>0520123263</t>
  </si>
  <si>
    <t>Разработка проектно-сметной документации</t>
  </si>
  <si>
    <t>Задача "Переселение граждан из  аварийного жилищного фонда"</t>
  </si>
  <si>
    <t>Предоставление собственникам жилых помещений в аварийном жилищном фонде возмещения за жилое помещение</t>
  </si>
  <si>
    <t>Задача "Проведение капитального ремонта общего имущества в многоквартирных домах на территории Удомельского городского округа"</t>
  </si>
  <si>
    <t>Проведение капитального ремонта общего имущества в многоквартирных домах на территории Удомельского городского округа</t>
  </si>
  <si>
    <t>0610123075</t>
  </si>
  <si>
    <t>Задача  "Обеспечение снижения негативного воздействия от несанкционированного размещения твердых коммунальных отходов на окружающую среду"</t>
  </si>
  <si>
    <t>Подпрограмма "Организация мероприятий по охране окружающей среды в границах Удомельского городского округа"</t>
  </si>
  <si>
    <t>0710123351</t>
  </si>
  <si>
    <t>0710223352</t>
  </si>
  <si>
    <t>0710200000</t>
  </si>
  <si>
    <t>0720100000</t>
  </si>
  <si>
    <t>0720123361</t>
  </si>
  <si>
    <t>Выполнение работ по разработке проектно-сметной документации</t>
  </si>
  <si>
    <t>0720123362</t>
  </si>
  <si>
    <t>Подпрограмма "Организация коммунального хозяйства Удомельского городского округа"</t>
  </si>
  <si>
    <t>Развитие, модернизация и капитальный ремонт объектов коммунальной инфраструктуры</t>
  </si>
  <si>
    <t>0730123371</t>
  </si>
  <si>
    <t>0730223372</t>
  </si>
  <si>
    <t>Подпрограмма "Реализация Генерального плана и Правил землепользования и застройки  на территории Удомельского городского округа "</t>
  </si>
  <si>
    <t>Задача "Внесение в ЕГРН сведений о границах населенных пунктов и территориальных зон на основании Генерального плана и Правил землепользования и застройки на территории Удомельского городского округа"</t>
  </si>
  <si>
    <t>Разработка материалов по описанию границ функциональных зон Ж-1; Ж-3; О-1; О-2; О-3 на  территории Удомельского городского округа на основании Правил землепользования и застройки  Удомельского городского округа</t>
  </si>
  <si>
    <t>Разработка материалов по описанию границ функциональных зон П-1; П-2; Т-1; Т-2;  на  территории Удомельского городского округа на основании Правил землепользования и застройки Удомельского городского округа</t>
  </si>
  <si>
    <t>Разработка материалов по описанию границ функциональных зон Р-1; Р-2; Р-4;С-1; Т-2; С-3; С-4; СХ-2; СХ-3 на  территории Удомельского городского округа на основании Правил землепользования и застройки Удомельского городского округа</t>
  </si>
  <si>
    <t>0910111020</t>
  </si>
  <si>
    <t>0910111050</t>
  </si>
  <si>
    <t>Финансовое обеспечение мероприятий по поддержке  педагогогов- молодых специалистам</t>
  </si>
  <si>
    <t>1010123081</t>
  </si>
  <si>
    <t>1020000000</t>
  </si>
  <si>
    <t>1020100000</t>
  </si>
  <si>
    <t xml:space="preserve">Обеспечение первичных мер пожарной безопасности на территории Удомельского городского округа </t>
  </si>
  <si>
    <t>Содержание и благоустройство видовых и памятных мест  Удомельского городского округа</t>
  </si>
  <si>
    <t>1230123535</t>
  </si>
  <si>
    <t>1230123540</t>
  </si>
  <si>
    <t>1230123545</t>
  </si>
  <si>
    <t>1240000000</t>
  </si>
  <si>
    <t>Подпрограмма "Энергосбережение и повышение энергетической эффективности территории Удомельского городского округа"</t>
  </si>
  <si>
    <t>1240200000</t>
  </si>
  <si>
    <t>Задача "Строительство, восстановление, ремонт внешних и внутренних сетей электроснабжения "</t>
  </si>
  <si>
    <t>1240300000</t>
  </si>
  <si>
    <t>1240323580</t>
  </si>
  <si>
    <t>1240323585</t>
  </si>
  <si>
    <t xml:space="preserve"> Содержание сетей уличного освещения</t>
  </si>
  <si>
    <t>Обеспечение уличного освещения  на территории Удомельского городского округа</t>
  </si>
  <si>
    <t>1320100000</t>
  </si>
  <si>
    <t>161R300000</t>
  </si>
  <si>
    <t>Задача "Реализация  проекта "Безопасность дорожного движения" в рамках национального проекта "Безопасные и качественные автомобильные дороги"</t>
  </si>
  <si>
    <t>1610123145</t>
  </si>
  <si>
    <t>Разработка проекта организации дорожного движения</t>
  </si>
  <si>
    <t>1610123150</t>
  </si>
  <si>
    <t>1610123155</t>
  </si>
  <si>
    <t>9940026300</t>
  </si>
  <si>
    <t>9950022600</t>
  </si>
  <si>
    <t>9950022700</t>
  </si>
  <si>
    <t xml:space="preserve"> Расходы на обеспечение деятельности муниципального казенного учреждения "Управление административно-хозяйственного обеспечения"</t>
  </si>
  <si>
    <t>9950022800</t>
  </si>
  <si>
    <t>Расходы на обеспечение деятельности муниципального казенного учреждения  "Управление по делам гражданской обороны и чрезвычайным ситуациям УГО"</t>
  </si>
  <si>
    <t>1500000000</t>
  </si>
  <si>
    <t>Задача "Благоустройство территории Удомельского городского округа в рамках реализации программы поддержки местных инициатив"</t>
  </si>
  <si>
    <t>0610123080</t>
  </si>
  <si>
    <t>Организация видео-фото наблюдения на территории Удомельского  городского округа</t>
  </si>
  <si>
    <t>Подпрограмма "Реализация Генерального плана и Правил землепользования и застройки  на территории Удомельского городского округа"</t>
  </si>
  <si>
    <t>Подпрограмма "Организация газоснабжения северной части города Удомля "</t>
  </si>
  <si>
    <t>Подпрограмма "Организация газоснабжения северной части города Удомля"</t>
  </si>
  <si>
    <t>0120421600</t>
  </si>
  <si>
    <t>Финансовое обеспечение бесплатным питанием обучающихся с ограниченными возможностями здоровья в муниципальных общеобразовательных учреждениях</t>
  </si>
  <si>
    <t>0140121270</t>
  </si>
  <si>
    <t>0140221280</t>
  </si>
  <si>
    <t>0140221300</t>
  </si>
  <si>
    <t>0120423005</t>
  </si>
  <si>
    <t>0140123010</t>
  </si>
  <si>
    <t>0140123015</t>
  </si>
  <si>
    <t>0130321250</t>
  </si>
  <si>
    <t>Подпрограмма "Развитие системы начального общего, основного общего и среднего общего образования"</t>
  </si>
  <si>
    <t>Задача "Приобретение жилых помещений для детей-сирот, детей оставшихся без попечения родителей, лиц из их числа для обеспечения их жилыми помещениями по договорам найма специализированных жилых помещений"</t>
  </si>
  <si>
    <t>Организация транспортного обслуживания населения на муниципальных маршрутах регулярных перевозок сверх минимальных социальных требований, установленных Правительством Тверской области</t>
  </si>
  <si>
    <t xml:space="preserve"> Приложение 3</t>
  </si>
  <si>
    <t xml:space="preserve"> Приложение 5</t>
  </si>
  <si>
    <t>Расходы на реализацию предложений по обращениям, поступающим к депутатам Удомельской городской Думы</t>
  </si>
  <si>
    <t>9940026900</t>
  </si>
  <si>
    <t>9940021900</t>
  </si>
  <si>
    <t>Оснащение автобусов, осуществляющих подвоз  обучающихся и воспитанников муниципальных учреждений, необходимыми техническими средствами</t>
  </si>
  <si>
    <t xml:space="preserve"> Расходы на реализацию предложений по обращениям, поступающим к депутатам Удомельской городской Думы бюджетных учреждений</t>
  </si>
  <si>
    <t>Муниципальная программа муниципального образования Удомельский городской округ «Развитие образования Удомельского городского округа на 2022 - 2027 годы»</t>
  </si>
  <si>
    <t>Муниципальная программа муниципального образования Удомельский городской округ «Развитие культуры, спорта и молодежной политики Удомельского городского округа на 2022 - 2027 годы»</t>
  </si>
  <si>
    <t>Муниципальная программа муниципального образования Удомельский городской округ «Улучшение экологической обстановки Удомельского городского округа на 2022 - 2027 годы»</t>
  </si>
  <si>
    <t>Муниципальная программа муниципального образования Удомельский городской округ «Управление жилищным фондом Удомельского городского округа на 2022 - 2027 годы»</t>
  </si>
  <si>
    <t>Муниципальная программа муниципального образования Удомельский городской округ «Создание условий для экономического развития Удомельского городского округа на 2022 - 2027 годы»</t>
  </si>
  <si>
    <t>Муниципальная программа муниципального образования Удомельский городской округ «Управление имуществом и земельными ресурсами Удомельского городского округа на 2022 - 2027 годы»</t>
  </si>
  <si>
    <t>Муниципальная программа муниципального образования Удомельский городской округ «Комплекс мероприятий по организации коммунального и газового хозяйства Удомельского городского округа на 2022 - 2027 годы»</t>
  </si>
  <si>
    <t>Задача "Строительство  инженерных систем округа"</t>
  </si>
  <si>
    <t>Муниципальная программа муниципального образования Удомельский городской округ «Территориальное планирование Удомельского городского округа на 2022 - 2027 годы»</t>
  </si>
  <si>
    <t>Муниципальная программа муниципального образования Удомельский городской округ «Развитие транспортного комплекса и дорожного хозяйства на территории Удомельского городского округа на 2022 - 2027 годы»</t>
  </si>
  <si>
    <t>Муниципальная программа муниципального образования Удомельский городской округ «Профилактика правонарушений на территории Удомельского городского округа на 2022 - 2027 годы»</t>
  </si>
  <si>
    <t>Муниципальная программа муниципального образования Удомельский городской округ «Обеспечение безопасности жизнедеятельности населения Удомельского городского округа на 2022 - 2027 годы»</t>
  </si>
  <si>
    <t>Муниципальная программа муниципального образования Удомельский городской округ «Содержание и благоустройство территории Удомельского городского округа на 2022 - 2027 годы»</t>
  </si>
  <si>
    <t>Муниципальная программа муниципального образования Удомельский городской округ «Социальная политика, поддержка и защита населения Удомельского городского округа на 2022 - 2027 годы»</t>
  </si>
  <si>
    <t>Муниципальная программа муниципального образования Удомельский городской округ «Формирование комфортной городской среды на территории Удомельского городского округа на 2018 - 2024 годы»</t>
  </si>
  <si>
    <t>Муниципальная программа муниципального образования Удомельский городской округ «Поддержка муниципальных инициатив и участия населения в осуществлении местного самоуправления на территории муниципального образования Удомельский городской округ на 2022 - 2027 годы»</t>
  </si>
  <si>
    <t>Муниципальная программа муниципального образования Удомельский городской округ «Повышение безопасности дорожного движения на территории Удомельского городского округа на 2022 - 2027 годы»</t>
  </si>
  <si>
    <t>Центральный аппарат Удомельской городской Думы</t>
  </si>
  <si>
    <t>Предоставление субсидий юридическим лицам (за исключением субсидий государственным (муниципальным)учреждениям), индивидуальным предпринимателям, физическим лицам, оказывающим банно-прачечные услуги для отдельной  категорий граждан в городе Удомля</t>
  </si>
  <si>
    <t xml:space="preserve"> Привлечение субъектов малого и среднего предпринимательства  и самозанятых к участию в выставках, ярмарках, конкурсах, мероприятиях, проводимых на территории Удомельского городского округа</t>
  </si>
  <si>
    <t>Проведение мероприятий, приуроченных к Дню предпринимателя в Удомельском городском округе</t>
  </si>
  <si>
    <t>Предоставление гранта в форме субсидии индивидуальным предпинимателям и самозанятым на создание или развитие собственного дела</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</si>
  <si>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возмещение затрат за коммунальные услуги в сфере водоснабжения</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</si>
  <si>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по доставке питьевой воды населению города Удомля, не обеспеченному централизованным водоснабжением</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</si>
  <si>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регулируемую деятельность в сфере водоснабжения потребителей сельских населенных пунктов Удомельского городского округа</t>
  </si>
  <si>
    <t>Обеспечение безопасности дорожного движения при проведении культурно-массовых мероприятий</t>
  </si>
  <si>
    <t>1610123170</t>
  </si>
  <si>
    <t>Паспортизация автомобильных дорог</t>
  </si>
  <si>
    <t>1610123180</t>
  </si>
  <si>
    <t>Обустройство разворотных площадок по маршрутам перевозок групп детей</t>
  </si>
  <si>
    <t xml:space="preserve">Ликвидация несанкционированных мест размещения твердых коммунальных отходов </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</si>
  <si>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</si>
  <si>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</si>
  <si>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</si>
  <si>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730</t>
  </si>
  <si>
    <t>Обслуживание муниципального долга</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</si>
  <si>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содержание  объектов канализационных очистных сооружений 3 очереди</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</si>
  <si>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холодного водоснабжения потребителям сельских населенных пунктов Удомельского городского округа, на реализацию мероприятий, направленных на улучшение качества оказания услуги холодного водоснабжения в сельских населенных пунктах</t>
  </si>
  <si>
    <t>Задача "Содержание и озеленение территории  Удомельского городского округа"</t>
  </si>
  <si>
    <t>Подпрограмма "Улучшение состояния и содержание территории  Удомельского городского округа"</t>
  </si>
  <si>
    <t>0320223200</t>
  </si>
  <si>
    <t>Установка остановочных комплексов</t>
  </si>
  <si>
    <t>1240223565</t>
  </si>
  <si>
    <t>Выполнение работ по реконструкции, модернизации сетей уличного освещения</t>
  </si>
  <si>
    <t>Осуществление мероприятий по признанию права муниципальной собственности на невостребованные земельные доли из земель сельскохозяйственного назначения</t>
  </si>
  <si>
    <t>0120221240</t>
  </si>
  <si>
    <t xml:space="preserve">Финансовое обеспечение мероприятий по укреплению материально-технической базы общеобразовательных учреждений </t>
  </si>
  <si>
    <t>0120500000</t>
  </si>
  <si>
    <t>Задача «Реализация проектов в рамках программы поддержки школьных инициатив»</t>
  </si>
  <si>
    <t>1030000000</t>
  </si>
  <si>
    <t>Изготовление буклетов, баннеров по профилактике безнадзорности и правонарушений несовершеннолетних</t>
  </si>
  <si>
    <t>Изготовление средств защиты по правилам дорожного движения для безопасности детей</t>
  </si>
  <si>
    <t>Проведение областного конкурса "Мастера и дети"</t>
  </si>
  <si>
    <t>Задача "Работа по формированию здорового образа жизни у несовершеннолетних"</t>
  </si>
  <si>
    <t>0210700000</t>
  </si>
  <si>
    <t>Задача "Проведение юбилейеых мероприятий, посвященных памятным датам Удомельского городского округа"</t>
  </si>
  <si>
    <t>000 01 03 00 00 00 0000 000</t>
  </si>
  <si>
    <t>000 01 05 02 01 04 0000 510</t>
  </si>
  <si>
    <t>000 01 05 02 01 04 0000 610</t>
  </si>
  <si>
    <t>03202L5990</t>
  </si>
  <si>
    <t>Задача "Обеспечение жильем молодых семей Удомельского городского округа"</t>
  </si>
  <si>
    <t>022P5S0400</t>
  </si>
  <si>
    <t>Приобретение и установка плоскостных спортивных сооружений и оборудования на территории Удомельского городского округа</t>
  </si>
  <si>
    <t>Задача "Проведение юбилейных мероприятий, посвященных памятным датам Удомельского городского округа"</t>
  </si>
  <si>
    <t>Задача "Реализация "Спорт - норма жизни" национального проекта "Демография"</t>
  </si>
  <si>
    <t>022P500000</t>
  </si>
  <si>
    <t>0410223220</t>
  </si>
  <si>
    <t>0410223215</t>
  </si>
  <si>
    <t>0410223210</t>
  </si>
  <si>
    <t>0410327210</t>
  </si>
  <si>
    <t>0410327230</t>
  </si>
  <si>
    <t>0410327240</t>
  </si>
  <si>
    <t>0410327250</t>
  </si>
  <si>
    <t>0410123205</t>
  </si>
  <si>
    <t>1610123185</t>
  </si>
  <si>
    <t>Подпрограмма "Профилактика безнадзорности и павонарушений несовершеннолетних в Удомельском городском округе"</t>
  </si>
  <si>
    <t>340</t>
  </si>
  <si>
    <t>Стипендии</t>
  </si>
  <si>
    <t>0210721510</t>
  </si>
  <si>
    <t>Бюджетные кредиты из других бюджетов бюджетной системы  Российской Федерации</t>
  </si>
  <si>
    <t>000 01 03 01 00 00 0000 700</t>
  </si>
  <si>
    <t>Привлечение бюджетных кредитов из других бюджетов бюджетной системы Российской Федерации в валюте Российской Федерации</t>
  </si>
  <si>
    <t>000 01 03 01 00 04 0500 710</t>
  </si>
  <si>
    <t>Привлечение бюджетных кредитов городскими округами из бюджета субъекта Российской Федерации, за исключением бюджетных кредитов, предоставляемых за счет федерального бюджета для погашения долговых обязательств по кредитам, полученным от кредитных организаций</t>
  </si>
  <si>
    <t>000 01 03 01 00 00 0000 800</t>
  </si>
  <si>
    <t>Погашение бюджетных кредитов, полученных из других бюджетов бюджетной системы Российской Федерации в валюте Российской Федерации</t>
  </si>
  <si>
    <t>000 01 03 01 00 04 0500 810</t>
  </si>
  <si>
    <t>Погашение бюджетных кредитов, предоставленных городским округам из бюджета субъекта Российской Федерации, за исключением бюджетных кредитов, предоставляемых за счет федерального бюджета для погашения долговых обязательств по кредитам, полученным от кредитных организаций</t>
  </si>
  <si>
    <t>Капитальный ремонт ограждения гражданского кладбища с. Еремково по адресу: Тверская область,Удомельский городской округ, с.Еремково</t>
  </si>
  <si>
    <t>Разработка проектно - сметной документации и осуществление строительного контроля</t>
  </si>
  <si>
    <t>1310110290</t>
  </si>
  <si>
    <t>Приобретение жилых помещений для малоимущих многодетных семей за счет средств областного бюджета</t>
  </si>
  <si>
    <t>Благоустройство парковой зоны ул. Венецианова</t>
  </si>
  <si>
    <t>830</t>
  </si>
  <si>
    <t>Исполнение судебных актов</t>
  </si>
  <si>
    <t>Подготовка площадки и установка на ней оборудования</t>
  </si>
  <si>
    <t>0220123046</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</si>
  <si>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в городе Удомля на финансовое обеспечение затрат по приобретению специализированной техники в лизинг</t>
  </si>
  <si>
    <t>0130121120</t>
  </si>
  <si>
    <t>Обеспечение функционирования модели персонифицированного финансирования дополнительного образования</t>
  </si>
  <si>
    <t>Подпрограмма "Предоставление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t>
  </si>
  <si>
    <t>Выполнение работ по разработке проектно-сметной документации на реконструкцию и ремонт автомобильных дорог, дворовых территорий многоквартирных домов, проездов к дворовым территориям, в т.ч. парковок и проведение лабораторных исследований</t>
  </si>
  <si>
    <t>Разработка программы комплексного развития систем коммунальной инфраструктуры Удомельского городского округа</t>
  </si>
  <si>
    <t>0730123373</t>
  </si>
  <si>
    <t>022P510400</t>
  </si>
  <si>
    <t>Приобретение и установка плоскостных спортивных сооружений и оборудования  на плоскостные спортивные сооружения</t>
  </si>
  <si>
    <t>Финансовое обеспечение реализации проекта "Комфортная и безопасная образовательная среда современной школы" в УГ3 за счет средств бюджета Удомельского городского округа</t>
  </si>
  <si>
    <t>01205S8002</t>
  </si>
  <si>
    <t>01204L3041</t>
  </si>
  <si>
    <t>15103S9022</t>
  </si>
  <si>
    <t>Подготовка проектов межевания земельных участков и проведение кадастровых работ</t>
  </si>
  <si>
    <t>Задача "Социальная поддержка старшего поколения и многодетных семей, имеющих земельные участки"</t>
  </si>
  <si>
    <t>Задача "Обеспечение бесперебойного функционирования объектов коммунального хозяйства территорий Удомельского городского округа"</t>
  </si>
  <si>
    <t>Задача "Обеспечение уличного освещения населенных пунктов, расположенных на территории Удомельского городского округа"</t>
  </si>
  <si>
    <t>0120518002</t>
  </si>
  <si>
    <t xml:space="preserve">Финансовое обеспечение реализации проекта "Комфортная и безопасная образовательная среда современной школы" в УГ3 </t>
  </si>
  <si>
    <t>02101L5192</t>
  </si>
  <si>
    <t>Реализация мероприятий по модернизации библиотек в части комплектования книжных фондов библиотек</t>
  </si>
  <si>
    <t>0120210920</t>
  </si>
  <si>
    <t>Средства депутатов Законодательного Собрания Тверской области общеобразовательным учреждениям</t>
  </si>
  <si>
    <t>0140410920</t>
  </si>
  <si>
    <t>Средства депутатов Законодательного Собрания Тверской области на финансовое обеспечение информационного сопровождения развития образования</t>
  </si>
  <si>
    <t>0140400000</t>
  </si>
  <si>
    <t>Задача "Система информирования граждан в сфере образования"</t>
  </si>
  <si>
    <t>0210110920</t>
  </si>
  <si>
    <t>Средства депутатов Законодательного Собрания Тверской области учреждениям культуры</t>
  </si>
  <si>
    <t>0210610920</t>
  </si>
  <si>
    <t>Средства депутатов Законодательного Собрания Тверской области</t>
  </si>
  <si>
    <t xml:space="preserve">Организация транспортного обслуживания населения на муниципальных маршрутах регулярных перевозок по регулируемым тарифам </t>
  </si>
  <si>
    <t>Приобретение трактора Беларус 320.4 М (или эквивалента) с навесным оборудованием (отвал, щетка, газонокосилка)  для нужд Удомельского городского округа</t>
  </si>
  <si>
    <t>15103S9023</t>
  </si>
  <si>
    <t>Подпрограмма "Содержание, озеленение и благоустройство территории Удомельского городского округа "</t>
  </si>
  <si>
    <t>Предоставление субсидий муниципальным унитарным предприятиям  Удомельского городского округа, предоставляющим услуги теплоснабжения, водоснабжения и водоотведения потребителям сельских населенных  пунктов Удомельского городского округа в целях реализации мер по предупреждению банкротства</t>
  </si>
  <si>
    <t>012EB51790</t>
  </si>
  <si>
    <t>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t>
  </si>
  <si>
    <t>012E000000</t>
  </si>
  <si>
    <t>Задача "Реализация  проекта "Патриотическое воспитание граждан Российской Федерации" в рамках национального проекта "Образование"</t>
  </si>
  <si>
    <t>Оплата услуг средствам массовой информации за размещение информации и объявлений о деятельности органов местного самоуправления в печатных изданиях</t>
  </si>
  <si>
    <t>Оплата услуг средствам массовой информации за размещение информации и объявлений о деятельности органов местного самоуправления в телевизионном эфире</t>
  </si>
  <si>
    <t>Оплата услуг средствам массовой информации  за размещение информации и объявлений о деятельности органов местного самоуправления в радиоэфире</t>
  </si>
  <si>
    <t>0110111390</t>
  </si>
  <si>
    <t>Единовременная выплата к началу нового учебного года работникам муниципальных бюджетных дошкольных образовательных учреждений</t>
  </si>
  <si>
    <t>01101S1390</t>
  </si>
  <si>
    <t>Единовременная выплата к началу нового учебного года работникам муниципальных бюджетных дошкольных образовательных учреждений за счет средств бюджета округа</t>
  </si>
  <si>
    <t>0120111390</t>
  </si>
  <si>
    <t>Единовременная выплата к началу нового учебного года работникам муниципальных бюджетных общеобразовательных учреждений</t>
  </si>
  <si>
    <t>01201S1390</t>
  </si>
  <si>
    <t>Единовременная выплата к началу нового учебного года работникам муниципальных бюджетных общеобразовательных учреждений за счет средств бюджета округа</t>
  </si>
  <si>
    <t>0130111390</t>
  </si>
  <si>
    <t>Единовременная выплата к началу нового учебного года работникам муниципальных бюджетных учреждений дополнительного образования</t>
  </si>
  <si>
    <t>01301S1390</t>
  </si>
  <si>
    <t>Единовременная выплата к началу нового учебного года работникам муниципальных бюджетных учреждений дополнительного образования за счет средств бюджета округа</t>
  </si>
  <si>
    <t>Единовременная выплата к началу нового учебного года работникам муниципальных бюджетных учреждений дополнительного образования в сфере культуры</t>
  </si>
  <si>
    <t>02102S1390</t>
  </si>
  <si>
    <t>Единовременная выплата к началу нового учебного года работникам муниципальных бюджетных учреждений дополнительного образования в сфере культуры. за счет средств бюджета округа</t>
  </si>
  <si>
    <t>Расходы на поощрение за достижение показателей деятельности
 органов исполнительной власти Тверской области (на поощрение муниципальных управленческих команд)</t>
  </si>
  <si>
    <t>9950055492</t>
  </si>
  <si>
    <t xml:space="preserve">от     № </t>
  </si>
  <si>
    <t>"Об исполнении бюджета Удомельского</t>
  </si>
  <si>
    <t>городского округа за 2023 год"</t>
  </si>
  <si>
    <t xml:space="preserve">Источники финансирования дефицита местного бюджета за 2023 год </t>
  </si>
  <si>
    <t>Утверждено решением о бюджете</t>
  </si>
  <si>
    <t xml:space="preserve">    Наименование</t>
  </si>
  <si>
    <t>Кассовое исполнение</t>
  </si>
  <si>
    <t xml:space="preserve">Кассовое исполнение </t>
  </si>
  <si>
    <t>исполнено, %</t>
  </si>
  <si>
    <t xml:space="preserve">Распределение бюджетных ассигнований  местного бюджета по разделам и подразделам классификации расходов бюджета за 2023 год </t>
  </si>
  <si>
    <t xml:space="preserve"> Распределение бюджетных ассигнований местного бюджета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за 2023 год </t>
  </si>
  <si>
    <t xml:space="preserve"> Приложение 4</t>
  </si>
  <si>
    <t xml:space="preserve">Ведомственная структура расходов  местного бюджета  по главным распорядителям бюджетных средств,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 за  2023 год                                 </t>
  </si>
  <si>
    <t>Приложение 7</t>
  </si>
  <si>
    <t>к решению Удомельского городской Думы</t>
  </si>
  <si>
    <t>от                              №</t>
  </si>
  <si>
    <t xml:space="preserve">"О бюджете Удомельского городского округа </t>
  </si>
  <si>
    <t>на 2023 год и плановый период 2024 и 2025 годов"</t>
  </si>
  <si>
    <t>Наименование публичного нормативного обязательства</t>
  </si>
  <si>
    <t>Код строки</t>
  </si>
  <si>
    <t>Реквизиты нормативного правового акта</t>
  </si>
  <si>
    <t>Наименование</t>
  </si>
  <si>
    <t>Код расходов                       по БК</t>
  </si>
  <si>
    <t>Вид</t>
  </si>
  <si>
    <t>Дата</t>
  </si>
  <si>
    <t>Номер</t>
  </si>
  <si>
    <t>РП</t>
  </si>
  <si>
    <t>ЦСР</t>
  </si>
  <si>
    <t>1.Публичные нормативные обязательства, исполняемые за счет средств областного бюджета</t>
  </si>
  <si>
    <t>Закон Тверской области</t>
  </si>
  <si>
    <t>82-ЗО</t>
  </si>
  <si>
    <t>"О компенсации расходов на оплату жилых помещений, отопления и освещения педагогическим работникам, проживающим и работающим в сельских населенных пунктах, рабочих поселках (поселках городского типа)"</t>
  </si>
  <si>
    <t>10 03</t>
  </si>
  <si>
    <t>2.Публичные нормативные обязательства, исполняемые за счет средств  бюджета Удомельского городского округа</t>
  </si>
  <si>
    <t>Решение  Удомельской городской Думы</t>
  </si>
  <si>
    <t>"Об утверждении Положения о муниципальной службе муниципального образования Удомельский городской округ"</t>
  </si>
  <si>
    <t>10 01</t>
  </si>
  <si>
    <t>Задача "Укрепление и модернизация материально-технической базы муниципальных учреждений  в сфере молодежной политики Удомельского городского округа"</t>
  </si>
  <si>
    <t xml:space="preserve"> Приложение 8</t>
  </si>
  <si>
    <t>к решению Удомельской городской</t>
  </si>
  <si>
    <t xml:space="preserve">Думы от                      № </t>
  </si>
  <si>
    <t xml:space="preserve">"О  бюджете Удомельского городского округа </t>
  </si>
  <si>
    <t>на 2023 год и на плановый период 2024 и 2025 годов"</t>
  </si>
  <si>
    <t>N п/п</t>
  </si>
  <si>
    <t xml:space="preserve"> Наименование мероприятий</t>
  </si>
  <si>
    <t>Главный распорядитель, распорядитель бюджетных средств</t>
  </si>
  <si>
    <t>Раздел,подраздел классификации расходов бюджета</t>
  </si>
  <si>
    <t>ФИО депутата</t>
  </si>
  <si>
    <t>1</t>
  </si>
  <si>
    <t>Организация выездных соревнований</t>
  </si>
  <si>
    <t>Управление образования  Администрации УГО, МБУ ДО ДДТ</t>
  </si>
  <si>
    <t>07 03</t>
  </si>
  <si>
    <t>Байков В.Г.</t>
  </si>
  <si>
    <t>Приобретение инвентаря</t>
  </si>
  <si>
    <t>2</t>
  </si>
  <si>
    <t>Танцевальный коллектив "Акварель", приобретение сценической обуви</t>
  </si>
  <si>
    <t xml:space="preserve"> Управление культуры, спорта и молодежной политики Администрации УГО, МБУК "Удомельский центр культуры и досуга"</t>
  </si>
  <si>
    <t>08 01</t>
  </si>
  <si>
    <t>Бреус Н.Н.</t>
  </si>
  <si>
    <t>Приобретение глубинных насосов</t>
  </si>
  <si>
    <t xml:space="preserve"> Администрация УГО</t>
  </si>
  <si>
    <t>05 02</t>
  </si>
  <si>
    <t>3</t>
  </si>
  <si>
    <t>Приобретение системного блока (компьютер) для занятий в теоретическом классе</t>
  </si>
  <si>
    <t xml:space="preserve"> Управление культуры, спорта и молодежной политики Администрации УГО,МБОУ ДО "УДШИ"</t>
  </si>
  <si>
    <t>Давыдов А.А.</t>
  </si>
  <si>
    <t>замена линолеума в 2 классах</t>
  </si>
  <si>
    <t>Издание книги Л.Н.Константинова</t>
  </si>
  <si>
    <t xml:space="preserve"> Управление культуры, спорта и молодежной политики Администрации УГО</t>
  </si>
  <si>
    <t>08 04</t>
  </si>
  <si>
    <t>4</t>
  </si>
  <si>
    <t>Лебедев О.В.</t>
  </si>
  <si>
    <t>5</t>
  </si>
  <si>
    <t>Приобретение навесного оборудованияк трактору</t>
  </si>
  <si>
    <t>Управление образования  Администрации УГО, МБОУ Сиговская СОШ</t>
  </si>
  <si>
    <t>07 02</t>
  </si>
  <si>
    <t>Пажетных К.А.</t>
  </si>
  <si>
    <t>приобретение игрушек для дошкольных групп</t>
  </si>
  <si>
    <t>Управление образования  Администрации УГО, МБДОУ "Брусовская средняя общеобразовательная школа"</t>
  </si>
  <si>
    <t>6</t>
  </si>
  <si>
    <t>Серяков А.В.</t>
  </si>
  <si>
    <t>7</t>
  </si>
  <si>
    <t>Хореаграфический коллектив "Искорка",приобретение футболок,мешков для обуви и отпаривателя</t>
  </si>
  <si>
    <t>Шишкин В.Р.</t>
  </si>
  <si>
    <t>Приобретение для детского музыкального театра "ТУТ" микрофонов, софитов, декораций</t>
  </si>
  <si>
    <t>Управление культуры, спорта и молодежной политики Администрации УГО,МБОУ ДО "УДШИ"</t>
  </si>
  <si>
    <t>Установка видеонаблюдения на ул.Попова (художественное отделение)</t>
  </si>
  <si>
    <t>Южакова С.Н.</t>
  </si>
  <si>
    <t>Итого:</t>
  </si>
  <si>
    <t>Кассовое исполнение, тыс.руб.</t>
  </si>
  <si>
    <t xml:space="preserve">ПЕРЕЧЕНЬ
мероприятий по обращениям, поступающим к депутатам
Удомельской городской Думы за 2023 год </t>
  </si>
  <si>
    <t xml:space="preserve">Распределение бюджетных ассигнований по целевым статьям  (муниципальным программам и непрограммным направлениям деятельности), 
группам видов расходов, классификации расходов бюджета за 2023 год </t>
  </si>
  <si>
    <t xml:space="preserve">     Общий объем бюджетных ассигнований, направляемых на исполнение публичных нормативных обязательств  Удомельского городского округа за 2023 год</t>
  </si>
  <si>
    <t xml:space="preserve"> Приложение 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</si>
</sst>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00"/>
    <numFmt numFmtId="166" formatCode="#,##0.0"/>
  </numFmts>
  <fonts count="50" x14ac:knownFonts="1">
    <font>
      <sz val="10"/>
      <name val="Arial Cyr"/>
      <charset val="204"/>
    </font>
    <font>
      <sz val="10"/>
      <name val="Arial Cyr"/>
      <charset val="204"/>
    </font>
    <font>
      <sz val="8"/>
      <name val="Arial Cyr"/>
      <charset val="204"/>
    </font>
    <font>
      <b/>
      <sz val="10"/>
      <name val="Arial Cyr"/>
      <charset val="204"/>
    </font>
    <font>
      <b/>
      <sz val="12"/>
      <name val="Arial Cyr"/>
      <charset val="204"/>
    </font>
    <font>
      <sz val="12"/>
      <name val="Arial Cyr"/>
      <charset val="204"/>
    </font>
    <font>
      <b/>
      <sz val="14"/>
      <name val="Arial Cyr"/>
      <charset val="204"/>
    </font>
    <font>
      <sz val="14"/>
      <name val="Arial Cyr"/>
      <charset val="204"/>
    </font>
    <font>
      <sz val="11"/>
      <name val="Arial Cyr"/>
      <charset val="204"/>
    </font>
    <font>
      <b/>
      <sz val="11"/>
      <name val="Arial Cyr"/>
      <charset val="204"/>
    </font>
    <font>
      <sz val="11"/>
      <name val="Bookman Old Style"/>
      <family val="1"/>
      <charset val="204"/>
    </font>
    <font>
      <sz val="10"/>
      <name val="Arial"/>
      <family val="2"/>
      <charset val="204"/>
    </font>
    <font>
      <b/>
      <sz val="9"/>
      <name val="Arial Cyr"/>
      <charset val="204"/>
    </font>
    <font>
      <sz val="9"/>
      <name val="Arial Cyr"/>
      <charset val="204"/>
    </font>
    <font>
      <i/>
      <sz val="10"/>
      <name val="Arial Cyr"/>
      <charset val="204"/>
    </font>
    <font>
      <i/>
      <sz val="9"/>
      <name val="Arial Cyr"/>
      <charset val="204"/>
    </font>
    <font>
      <i/>
      <sz val="11"/>
      <name val="Arial"/>
      <family val="2"/>
      <charset val="204"/>
    </font>
    <font>
      <i/>
      <sz val="11"/>
      <name val="Bookman Old Style"/>
      <family val="1"/>
      <charset val="204"/>
    </font>
    <font>
      <i/>
      <sz val="11"/>
      <name val="Arial Cyr"/>
      <charset val="204"/>
    </font>
    <font>
      <b/>
      <i/>
      <sz val="11"/>
      <name val="Arial Cyr"/>
      <charset val="204"/>
    </font>
    <font>
      <b/>
      <i/>
      <sz val="10"/>
      <name val="Arial Cyr"/>
      <charset val="204"/>
    </font>
    <font>
      <b/>
      <i/>
      <sz val="11"/>
      <name val="Bookman Old Style"/>
      <family val="1"/>
      <charset val="204"/>
    </font>
    <font>
      <i/>
      <sz val="10"/>
      <name val="Arial"/>
      <family val="2"/>
      <charset val="204"/>
    </font>
    <font>
      <b/>
      <i/>
      <sz val="11"/>
      <name val="Arial"/>
      <family val="2"/>
      <charset val="204"/>
    </font>
    <font>
      <b/>
      <sz val="13"/>
      <name val="Arial Cyr"/>
      <charset val="204"/>
    </font>
    <font>
      <sz val="10"/>
      <color indexed="8"/>
      <name val="Arial"/>
      <family val="2"/>
      <charset val="204"/>
    </font>
    <font>
      <b/>
      <sz val="18"/>
      <color indexed="56"/>
      <name val="Cambria"/>
      <family val="2"/>
      <charset val="204"/>
    </font>
    <font>
      <i/>
      <sz val="10"/>
      <color indexed="8"/>
      <name val="Arial"/>
      <family val="2"/>
      <charset val="204"/>
    </font>
    <font>
      <b/>
      <i/>
      <sz val="10"/>
      <name val="Arial"/>
      <family val="2"/>
      <charset val="204"/>
    </font>
    <font>
      <b/>
      <sz val="10"/>
      <name val="Arial"/>
      <family val="2"/>
      <charset val="204"/>
    </font>
    <font>
      <b/>
      <sz val="10"/>
      <color indexed="8"/>
      <name val="Arial"/>
      <family val="2"/>
      <charset val="204"/>
    </font>
    <font>
      <b/>
      <sz val="11"/>
      <name val="Arial"/>
      <family val="2"/>
      <charset val="204"/>
    </font>
    <font>
      <i/>
      <sz val="9"/>
      <name val="Arial"/>
      <family val="2"/>
      <charset val="204"/>
    </font>
    <font>
      <sz val="9"/>
      <name val="Bookman Old Style"/>
      <family val="1"/>
      <charset val="204"/>
    </font>
    <font>
      <sz val="10"/>
      <color indexed="8"/>
      <name val="Arial"/>
      <family val="2"/>
    </font>
    <font>
      <i/>
      <sz val="10"/>
      <name val="Times New Roman"/>
      <family val="1"/>
      <charset val="204"/>
    </font>
    <font>
      <b/>
      <sz val="10"/>
      <name val="Times New Roman"/>
      <family val="1"/>
      <charset val="204"/>
    </font>
    <font>
      <sz val="10"/>
      <color indexed="64"/>
      <name val="Arial"/>
      <family val="2"/>
      <charset val="204"/>
    </font>
    <font>
      <sz val="9"/>
      <name val="Arial"/>
      <family val="2"/>
      <charset val="204"/>
    </font>
    <font>
      <sz val="10"/>
      <color rgb="FF000000"/>
      <name val="Arial"/>
      <family val="2"/>
      <charset val="204"/>
    </font>
    <font>
      <sz val="10"/>
      <color rgb="FF000000"/>
      <name val="Arial Cyr"/>
    </font>
    <font>
      <sz val="11"/>
      <color rgb="FF000000"/>
      <name val="Times New Roman"/>
      <family val="1"/>
      <charset val="204"/>
    </font>
    <font>
      <sz val="10"/>
      <color theme="1" tint="4.9989318521683403E-2"/>
      <name val="Arial Cyr"/>
      <charset val="204"/>
    </font>
    <font>
      <b/>
      <sz val="10"/>
      <color rgb="FF000000"/>
      <name val="Arial CYR"/>
    </font>
    <font>
      <i/>
      <sz val="10"/>
      <color rgb="FF000000"/>
      <name val="Arial Cyr"/>
      <charset val="204"/>
    </font>
    <font>
      <b/>
      <sz val="10"/>
      <color theme="1"/>
      <name val="Arial"/>
      <family val="2"/>
      <charset val="204"/>
    </font>
    <font>
      <sz val="12"/>
      <name val="Times New Roman"/>
      <family val="1"/>
      <charset val="204"/>
    </font>
    <font>
      <b/>
      <i/>
      <sz val="9"/>
      <name val="Arial Cyr"/>
      <charset val="204"/>
    </font>
    <font>
      <sz val="10"/>
      <color theme="1"/>
      <name val="Arial"/>
      <family val="2"/>
      <charset val="204"/>
    </font>
    <font>
      <b/>
      <sz val="12"/>
      <name val="Arial"/>
      <family val="2"/>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34" fillId="0" borderId="0"/>
    <xf numFmtId="0" fontId="26" fillId="0" borderId="0" applyNumberFormat="0" applyFill="0" applyBorder="0" applyAlignment="0" applyProtection="0"/>
    <xf numFmtId="0" fontId="34" fillId="0" borderId="0"/>
    <xf numFmtId="1" fontId="40" fillId="0" borderId="11">
      <alignment horizontal="center" vertical="top" shrinkToFit="1"/>
    </xf>
    <xf numFmtId="0" fontId="43" fillId="0" borderId="11">
      <alignment vertical="top" wrapText="1"/>
    </xf>
  </cellStyleXfs>
  <cellXfs count="281">
    <xf numFmtId="0" fontId="0" fillId="0" borderId="0" xfId="0"/>
    <xf numFmtId="0" fontId="0" fillId="0" borderId="1" xfId="0" applyBorder="1"/>
    <xf numFmtId="0" fontId="2" fillId="0" borderId="1" xfId="0" applyFont="1" applyBorder="1" applyAlignment="1">
      <alignment horizontal="center"/>
    </xf>
    <xf numFmtId="0" fontId="4" fillId="0" borderId="1" xfId="0" applyFont="1" applyBorder="1"/>
    <xf numFmtId="49" fontId="4" fillId="0" borderId="1" xfId="0" applyNumberFormat="1" applyFont="1" applyBorder="1" applyAlignment="1">
      <alignment horizontal="center"/>
    </xf>
    <xf numFmtId="49" fontId="3" fillId="0" borderId="1" xfId="0" applyNumberFormat="1" applyFont="1" applyBorder="1" applyAlignment="1">
      <alignment horizontal="center"/>
    </xf>
    <xf numFmtId="0" fontId="0" fillId="0" borderId="0" xfId="0" applyAlignment="1">
      <alignment horizontal="center"/>
    </xf>
    <xf numFmtId="0" fontId="2" fillId="0" borderId="0" xfId="0" applyFont="1" applyAlignment="1">
      <alignment horizontal="right"/>
    </xf>
    <xf numFmtId="0" fontId="5" fillId="0" borderId="0" xfId="0" applyFont="1"/>
    <xf numFmtId="0" fontId="6" fillId="0" borderId="1" xfId="0" applyFont="1" applyBorder="1"/>
    <xf numFmtId="0" fontId="4" fillId="0" borderId="1" xfId="0" applyFont="1" applyBorder="1" applyAlignment="1">
      <alignment wrapText="1"/>
    </xf>
    <xf numFmtId="49" fontId="5" fillId="0" borderId="1" xfId="0" applyNumberFormat="1" applyFont="1" applyBorder="1" applyAlignment="1">
      <alignment horizontal="center"/>
    </xf>
    <xf numFmtId="0" fontId="7" fillId="0" borderId="1" xfId="0" applyFont="1" applyBorder="1"/>
    <xf numFmtId="0" fontId="5" fillId="0" borderId="1" xfId="0" applyFont="1" applyBorder="1"/>
    <xf numFmtId="0" fontId="6" fillId="0" borderId="1" xfId="0" applyFont="1" applyBorder="1" applyAlignment="1">
      <alignment wrapText="1"/>
    </xf>
    <xf numFmtId="0" fontId="9" fillId="0" borderId="1" xfId="0" applyFont="1" applyBorder="1"/>
    <xf numFmtId="49" fontId="1" fillId="0" borderId="1" xfId="0" applyNumberFormat="1" applyFont="1" applyBorder="1" applyAlignment="1">
      <alignment horizontal="center"/>
    </xf>
    <xf numFmtId="49" fontId="8" fillId="0" borderId="1" xfId="0" applyNumberFormat="1" applyFont="1" applyBorder="1" applyAlignment="1">
      <alignment horizontal="center"/>
    </xf>
    <xf numFmtId="0" fontId="10" fillId="0" borderId="1" xfId="0" applyFont="1" applyBorder="1"/>
    <xf numFmtId="0" fontId="8" fillId="0" borderId="0" xfId="0" applyFont="1"/>
    <xf numFmtId="0" fontId="10" fillId="0" borderId="0" xfId="0" applyFont="1"/>
    <xf numFmtId="49" fontId="11" fillId="0" borderId="1" xfId="0" applyNumberFormat="1" applyFont="1" applyBorder="1" applyAlignment="1">
      <alignment horizontal="center"/>
    </xf>
    <xf numFmtId="0" fontId="1" fillId="0" borderId="1" xfId="0" applyFont="1" applyBorder="1" applyAlignment="1">
      <alignment wrapText="1"/>
    </xf>
    <xf numFmtId="0" fontId="14" fillId="0" borderId="1" xfId="0" applyFont="1" applyBorder="1"/>
    <xf numFmtId="0" fontId="15" fillId="0" borderId="1" xfId="0" applyFont="1" applyBorder="1"/>
    <xf numFmtId="0" fontId="13" fillId="0" borderId="1" xfId="0" applyFont="1" applyBorder="1"/>
    <xf numFmtId="0" fontId="14" fillId="0" borderId="0" xfId="0" applyFont="1"/>
    <xf numFmtId="0" fontId="16" fillId="0" borderId="1" xfId="0" applyFont="1" applyBorder="1"/>
    <xf numFmtId="49" fontId="17" fillId="0" borderId="1" xfId="0" applyNumberFormat="1" applyFont="1" applyBorder="1" applyAlignment="1">
      <alignment horizontal="center"/>
    </xf>
    <xf numFmtId="0" fontId="18" fillId="0" borderId="1" xfId="0" applyFont="1" applyBorder="1"/>
    <xf numFmtId="49" fontId="18" fillId="0" borderId="1" xfId="0" applyNumberFormat="1" applyFont="1" applyBorder="1" applyAlignment="1">
      <alignment horizontal="center"/>
    </xf>
    <xf numFmtId="49" fontId="19" fillId="0" borderId="1" xfId="0" applyNumberFormat="1" applyFont="1" applyBorder="1" applyAlignment="1">
      <alignment horizontal="center"/>
    </xf>
    <xf numFmtId="0" fontId="18" fillId="0" borderId="0" xfId="0" applyFont="1"/>
    <xf numFmtId="49" fontId="20" fillId="0" borderId="1" xfId="0" applyNumberFormat="1" applyFont="1" applyBorder="1" applyAlignment="1">
      <alignment horizontal="center"/>
    </xf>
    <xf numFmtId="49" fontId="21" fillId="0" borderId="1" xfId="0" applyNumberFormat="1" applyFont="1" applyBorder="1" applyAlignment="1">
      <alignment horizontal="center"/>
    </xf>
    <xf numFmtId="49" fontId="16" fillId="0" borderId="1" xfId="0" applyNumberFormat="1" applyFont="1" applyBorder="1" applyAlignment="1">
      <alignment horizontal="center"/>
    </xf>
    <xf numFmtId="0" fontId="22" fillId="0" borderId="0" xfId="0" applyFont="1"/>
    <xf numFmtId="0" fontId="16" fillId="0" borderId="0" xfId="0" applyFont="1"/>
    <xf numFmtId="49" fontId="23" fillId="0" borderId="1" xfId="0" applyNumberFormat="1" applyFont="1" applyBorder="1" applyAlignment="1">
      <alignment horizontal="center"/>
    </xf>
    <xf numFmtId="164" fontId="0" fillId="0" borderId="1" xfId="0" applyNumberFormat="1" applyBorder="1"/>
    <xf numFmtId="164" fontId="18" fillId="0" borderId="1" xfId="0" applyNumberFormat="1" applyFont="1" applyBorder="1"/>
    <xf numFmtId="164" fontId="1" fillId="0" borderId="1" xfId="0" applyNumberFormat="1" applyFont="1" applyBorder="1"/>
    <xf numFmtId="164" fontId="16" fillId="0" borderId="1" xfId="0" applyNumberFormat="1" applyFont="1" applyBorder="1"/>
    <xf numFmtId="164" fontId="17" fillId="0" borderId="1" xfId="0" applyNumberFormat="1" applyFont="1" applyBorder="1"/>
    <xf numFmtId="0" fontId="1" fillId="0" borderId="0" xfId="0" applyFont="1" applyAlignment="1">
      <alignment horizontal="right"/>
    </xf>
    <xf numFmtId="0" fontId="22" fillId="0" borderId="1" xfId="0" applyFont="1" applyBorder="1"/>
    <xf numFmtId="0" fontId="22" fillId="0" borderId="1" xfId="0" applyFont="1" applyBorder="1" applyAlignment="1">
      <alignment wrapText="1"/>
    </xf>
    <xf numFmtId="49" fontId="14" fillId="0" borderId="1" xfId="0" applyNumberFormat="1" applyFont="1" applyBorder="1" applyAlignment="1">
      <alignment horizontal="center"/>
    </xf>
    <xf numFmtId="0" fontId="14" fillId="0" borderId="1" xfId="0" applyFont="1" applyBorder="1" applyAlignment="1">
      <alignment wrapText="1"/>
    </xf>
    <xf numFmtId="0" fontId="9" fillId="0" borderId="1" xfId="0" applyFont="1" applyBorder="1" applyAlignment="1">
      <alignment wrapText="1"/>
    </xf>
    <xf numFmtId="0" fontId="16" fillId="0" borderId="1" xfId="0" applyFont="1" applyBorder="1" applyAlignment="1">
      <alignment wrapText="1"/>
    </xf>
    <xf numFmtId="0" fontId="11" fillId="0" borderId="1" xfId="0" applyFont="1" applyBorder="1"/>
    <xf numFmtId="49" fontId="22" fillId="0" borderId="1" xfId="0" applyNumberFormat="1" applyFont="1" applyBorder="1" applyAlignment="1">
      <alignment horizontal="center"/>
    </xf>
    <xf numFmtId="0" fontId="3" fillId="0" borderId="1" xfId="0" applyFont="1" applyBorder="1" applyAlignment="1">
      <alignment wrapText="1"/>
    </xf>
    <xf numFmtId="0" fontId="25" fillId="0" borderId="0" xfId="0" applyFont="1" applyAlignment="1">
      <alignment horizontal="left" vertical="center" wrapText="1"/>
    </xf>
    <xf numFmtId="0" fontId="25" fillId="0" borderId="3" xfId="0" applyFont="1" applyBorder="1" applyAlignment="1">
      <alignment horizontal="left" vertical="center" wrapText="1"/>
    </xf>
    <xf numFmtId="49" fontId="1" fillId="0" borderId="2" xfId="0" applyNumberFormat="1" applyFont="1" applyBorder="1" applyAlignment="1">
      <alignment horizontal="center"/>
    </xf>
    <xf numFmtId="49" fontId="11" fillId="0" borderId="2" xfId="0" applyNumberFormat="1" applyFont="1" applyBorder="1" applyAlignment="1">
      <alignment horizontal="center"/>
    </xf>
    <xf numFmtId="164" fontId="22" fillId="0" borderId="1" xfId="0" applyNumberFormat="1" applyFont="1" applyBorder="1"/>
    <xf numFmtId="164" fontId="9" fillId="0" borderId="1" xfId="0" applyNumberFormat="1" applyFont="1" applyBorder="1"/>
    <xf numFmtId="0" fontId="27" fillId="0" borderId="1" xfId="0" applyFont="1" applyBorder="1" applyAlignment="1">
      <alignment horizontal="left" vertical="center" wrapText="1"/>
    </xf>
    <xf numFmtId="164" fontId="20" fillId="0" borderId="1" xfId="0" applyNumberFormat="1" applyFont="1" applyBorder="1"/>
    <xf numFmtId="164" fontId="29" fillId="0" borderId="1" xfId="0" applyNumberFormat="1" applyFont="1" applyBorder="1"/>
    <xf numFmtId="0" fontId="30" fillId="0" borderId="1" xfId="0" applyFont="1" applyBorder="1" applyAlignment="1">
      <alignment horizontal="left" vertical="center" wrapText="1"/>
    </xf>
    <xf numFmtId="0" fontId="29" fillId="0" borderId="1" xfId="0" applyFont="1" applyBorder="1" applyAlignment="1">
      <alignment wrapText="1"/>
    </xf>
    <xf numFmtId="164" fontId="31" fillId="0" borderId="1" xfId="0" applyNumberFormat="1" applyFont="1" applyBorder="1"/>
    <xf numFmtId="0" fontId="27" fillId="0" borderId="0" xfId="0" applyFont="1" applyAlignment="1">
      <alignment horizontal="left" vertical="center" wrapText="1"/>
    </xf>
    <xf numFmtId="0" fontId="8" fillId="0" borderId="1" xfId="0" applyFont="1" applyBorder="1"/>
    <xf numFmtId="0" fontId="13" fillId="0" borderId="0" xfId="0" applyFont="1"/>
    <xf numFmtId="0" fontId="13" fillId="0" borderId="1" xfId="0" applyFont="1" applyBorder="1" applyAlignment="1">
      <alignment horizontal="center"/>
    </xf>
    <xf numFmtId="0" fontId="32" fillId="0" borderId="1" xfId="0" applyFont="1" applyBorder="1"/>
    <xf numFmtId="0" fontId="33" fillId="0" borderId="1" xfId="0" applyFont="1" applyBorder="1"/>
    <xf numFmtId="49" fontId="11" fillId="0" borderId="4" xfId="0" applyNumberFormat="1" applyFont="1" applyBorder="1" applyAlignment="1">
      <alignment horizontal="center"/>
    </xf>
    <xf numFmtId="49" fontId="29" fillId="0" borderId="1" xfId="0" applyNumberFormat="1" applyFont="1" applyBorder="1" applyAlignment="1">
      <alignment horizontal="center"/>
    </xf>
    <xf numFmtId="165" fontId="11" fillId="0" borderId="1" xfId="1" applyNumberFormat="1" applyFont="1" applyBorder="1" applyAlignment="1">
      <alignment horizontal="center"/>
    </xf>
    <xf numFmtId="165" fontId="22" fillId="0" borderId="1" xfId="1" applyNumberFormat="1" applyFont="1" applyBorder="1" applyAlignment="1">
      <alignment horizontal="center"/>
    </xf>
    <xf numFmtId="165" fontId="29" fillId="0" borderId="1" xfId="1" applyNumberFormat="1" applyFont="1" applyBorder="1" applyAlignment="1">
      <alignment horizontal="center"/>
    </xf>
    <xf numFmtId="49" fontId="35" fillId="0" borderId="1" xfId="0" applyNumberFormat="1" applyFont="1" applyBorder="1" applyAlignment="1">
      <alignment horizontal="center"/>
    </xf>
    <xf numFmtId="49" fontId="36" fillId="0" borderId="1" xfId="0" applyNumberFormat="1" applyFont="1" applyBorder="1" applyAlignment="1">
      <alignment horizontal="center"/>
    </xf>
    <xf numFmtId="165" fontId="25" fillId="0" borderId="1" xfId="3" applyNumberFormat="1" applyFont="1" applyBorder="1" applyAlignment="1">
      <alignment horizontal="center"/>
    </xf>
    <xf numFmtId="165" fontId="37" fillId="0" borderId="1" xfId="1" applyNumberFormat="1" applyFont="1" applyBorder="1" applyAlignment="1">
      <alignment horizontal="center"/>
    </xf>
    <xf numFmtId="49" fontId="28" fillId="0" borderId="1" xfId="0" applyNumberFormat="1" applyFont="1" applyBorder="1" applyAlignment="1">
      <alignment horizontal="center"/>
    </xf>
    <xf numFmtId="49" fontId="0" fillId="0" borderId="1" xfId="0" applyNumberFormat="1" applyBorder="1" applyAlignment="1">
      <alignment horizontal="center"/>
    </xf>
    <xf numFmtId="165" fontId="30" fillId="0" borderId="1" xfId="3" applyNumberFormat="1" applyFont="1" applyBorder="1" applyAlignment="1">
      <alignment horizontal="center"/>
    </xf>
    <xf numFmtId="0" fontId="30" fillId="0" borderId="3" xfId="0" applyFont="1" applyBorder="1" applyAlignment="1">
      <alignment horizontal="left" vertical="center" wrapText="1"/>
    </xf>
    <xf numFmtId="0" fontId="2" fillId="0" borderId="0" xfId="0" applyFont="1" applyAlignment="1">
      <alignment horizontal="left" indent="16"/>
    </xf>
    <xf numFmtId="0" fontId="0" fillId="0" borderId="0" xfId="0" applyAlignment="1">
      <alignment horizontal="left" indent="16"/>
    </xf>
    <xf numFmtId="0" fontId="2" fillId="0" borderId="0" xfId="0" applyFont="1" applyAlignment="1">
      <alignment horizontal="left" indent="22"/>
    </xf>
    <xf numFmtId="0" fontId="2" fillId="0" borderId="0" xfId="0" applyFont="1" applyAlignment="1">
      <alignment horizontal="left" indent="19"/>
    </xf>
    <xf numFmtId="49" fontId="0" fillId="0" borderId="2" xfId="0" applyNumberFormat="1" applyBorder="1" applyAlignment="1">
      <alignment horizontal="center"/>
    </xf>
    <xf numFmtId="0" fontId="12" fillId="0" borderId="1" xfId="0" applyFont="1" applyBorder="1"/>
    <xf numFmtId="164" fontId="4" fillId="0" borderId="1" xfId="0" applyNumberFormat="1" applyFont="1" applyBorder="1"/>
    <xf numFmtId="164" fontId="14" fillId="0" borderId="1" xfId="0" applyNumberFormat="1" applyFont="1" applyBorder="1"/>
    <xf numFmtId="164" fontId="11" fillId="0" borderId="1" xfId="0" applyNumberFormat="1" applyFont="1" applyBorder="1"/>
    <xf numFmtId="164" fontId="24" fillId="0" borderId="1" xfId="0" applyNumberFormat="1" applyFont="1" applyBorder="1"/>
    <xf numFmtId="164" fontId="3" fillId="0" borderId="1" xfId="0" applyNumberFormat="1" applyFont="1" applyBorder="1"/>
    <xf numFmtId="0" fontId="11" fillId="0" borderId="1" xfId="0" applyFont="1" applyBorder="1" applyAlignment="1">
      <alignment wrapText="1"/>
    </xf>
    <xf numFmtId="0" fontId="25" fillId="0" borderId="1" xfId="0" applyFont="1" applyBorder="1" applyAlignment="1">
      <alignment horizontal="left" vertical="center" wrapText="1"/>
    </xf>
    <xf numFmtId="0" fontId="0" fillId="0" borderId="1" xfId="0" applyBorder="1" applyAlignment="1">
      <alignment wrapText="1"/>
    </xf>
    <xf numFmtId="49" fontId="0" fillId="0" borderId="1" xfId="0" applyNumberFormat="1" applyBorder="1" applyAlignment="1">
      <alignment horizontal="left"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164" fontId="0" fillId="0" borderId="0" xfId="0" applyNumberFormat="1"/>
    <xf numFmtId="0" fontId="11" fillId="0" borderId="7" xfId="0" applyFont="1" applyBorder="1" applyAlignment="1">
      <alignment wrapText="1"/>
    </xf>
    <xf numFmtId="165" fontId="25" fillId="0" borderId="4" xfId="3" applyNumberFormat="1" applyFont="1" applyBorder="1" applyAlignment="1">
      <alignment horizontal="center"/>
    </xf>
    <xf numFmtId="49" fontId="1" fillId="0" borderId="4" xfId="0" applyNumberFormat="1" applyFont="1" applyBorder="1" applyAlignment="1">
      <alignment horizontal="center"/>
    </xf>
    <xf numFmtId="164" fontId="1" fillId="0" borderId="4" xfId="0" applyNumberFormat="1" applyFont="1" applyBorder="1"/>
    <xf numFmtId="0" fontId="11" fillId="0" borderId="0" xfId="0" applyFont="1" applyAlignment="1">
      <alignment wrapText="1"/>
    </xf>
    <xf numFmtId="0" fontId="5"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center"/>
    </xf>
    <xf numFmtId="166" fontId="1" fillId="0" borderId="1" xfId="0" applyNumberFormat="1" applyFont="1" applyBorder="1"/>
    <xf numFmtId="0" fontId="1" fillId="0" borderId="0" xfId="0" applyFont="1"/>
    <xf numFmtId="0" fontId="15" fillId="0" borderId="1" xfId="0" applyFont="1" applyBorder="1" applyAlignment="1">
      <alignment wrapText="1"/>
    </xf>
    <xf numFmtId="0" fontId="38" fillId="0" borderId="0" xfId="0" applyFont="1" applyAlignment="1">
      <alignment wrapText="1"/>
    </xf>
    <xf numFmtId="166" fontId="3" fillId="0" borderId="1" xfId="0" applyNumberFormat="1" applyFont="1" applyBorder="1"/>
    <xf numFmtId="0" fontId="12" fillId="0" borderId="1" xfId="0" applyFont="1" applyBorder="1" applyAlignment="1">
      <alignment wrapText="1"/>
    </xf>
    <xf numFmtId="166" fontId="14" fillId="0" borderId="1" xfId="0" applyNumberFormat="1" applyFont="1" applyBorder="1"/>
    <xf numFmtId="0" fontId="13" fillId="0" borderId="2" xfId="0" applyFont="1" applyBorder="1"/>
    <xf numFmtId="0" fontId="38" fillId="0" borderId="1" xfId="0" applyFont="1" applyBorder="1" applyAlignment="1">
      <alignment wrapText="1"/>
    </xf>
    <xf numFmtId="0" fontId="30" fillId="0" borderId="9" xfId="0" applyFont="1" applyBorder="1" applyAlignment="1">
      <alignment horizontal="left" vertical="center" wrapText="1"/>
    </xf>
    <xf numFmtId="0" fontId="39" fillId="0" borderId="0" xfId="0" applyFont="1" applyAlignment="1">
      <alignment vertical="justify" wrapText="1"/>
    </xf>
    <xf numFmtId="0" fontId="39" fillId="0" borderId="0" xfId="0" applyFont="1" applyAlignment="1">
      <alignment wrapText="1"/>
    </xf>
    <xf numFmtId="0" fontId="11" fillId="0" borderId="1" xfId="0" applyFont="1" applyBorder="1" applyAlignment="1">
      <alignment horizontal="center"/>
    </xf>
    <xf numFmtId="0" fontId="11" fillId="0" borderId="0" xfId="0" applyFont="1"/>
    <xf numFmtId="0" fontId="2" fillId="0" borderId="0" xfId="0" applyFont="1" applyAlignment="1">
      <alignment horizontal="left" indent="18"/>
    </xf>
    <xf numFmtId="0" fontId="0" fillId="0" borderId="7" xfId="0" applyBorder="1" applyAlignment="1">
      <alignment wrapText="1"/>
    </xf>
    <xf numFmtId="1" fontId="40" fillId="0" borderId="1" xfId="4" applyBorder="1" applyAlignment="1">
      <alignment horizontal="center" shrinkToFit="1"/>
    </xf>
    <xf numFmtId="0" fontId="39" fillId="0" borderId="1" xfId="0" applyFont="1" applyBorder="1" applyAlignment="1">
      <alignment wrapText="1"/>
    </xf>
    <xf numFmtId="49" fontId="41" fillId="0" borderId="12" xfId="4" applyNumberFormat="1" applyFont="1" applyBorder="1" applyAlignment="1">
      <alignment horizontal="center" shrinkToFit="1"/>
    </xf>
    <xf numFmtId="0" fontId="42" fillId="0" borderId="1" xfId="0" applyFont="1" applyBorder="1"/>
    <xf numFmtId="49" fontId="11" fillId="0" borderId="1" xfId="0" applyNumberFormat="1" applyFont="1" applyBorder="1" applyAlignment="1">
      <alignment horizontal="center" wrapText="1"/>
    </xf>
    <xf numFmtId="0" fontId="0" fillId="0" borderId="0" xfId="0" applyAlignment="1">
      <alignment wrapText="1"/>
    </xf>
    <xf numFmtId="49" fontId="11" fillId="0" borderId="1" xfId="1" applyNumberFormat="1" applyFont="1" applyBorder="1" applyAlignment="1">
      <alignment horizontal="center"/>
    </xf>
    <xf numFmtId="49" fontId="40" fillId="0" borderId="1" xfId="4" applyNumberFormat="1" applyBorder="1" applyAlignment="1">
      <alignment horizontal="center" wrapText="1" shrinkToFit="1"/>
    </xf>
    <xf numFmtId="49" fontId="40" fillId="0" borderId="12" xfId="4" applyNumberFormat="1" applyBorder="1" applyAlignment="1">
      <alignment horizontal="center" shrinkToFit="1"/>
    </xf>
    <xf numFmtId="0" fontId="0" fillId="0" borderId="1" xfId="0" applyBorder="1" applyAlignment="1">
      <alignment horizontal="center" wrapText="1"/>
    </xf>
    <xf numFmtId="49" fontId="40" fillId="0" borderId="13" xfId="4" applyNumberFormat="1" applyBorder="1" applyAlignment="1">
      <alignment horizontal="center" shrinkToFit="1"/>
    </xf>
    <xf numFmtId="1" fontId="44" fillId="0" borderId="1" xfId="4" applyFont="1" applyBorder="1" applyAlignment="1">
      <alignment horizontal="center" shrinkToFit="1"/>
    </xf>
    <xf numFmtId="0" fontId="45" fillId="0" borderId="1" xfId="0" applyFont="1" applyBorder="1" applyAlignment="1">
      <alignment wrapText="1"/>
    </xf>
    <xf numFmtId="0" fontId="45" fillId="0" borderId="1" xfId="0" applyFont="1" applyBorder="1" applyAlignment="1">
      <alignment vertical="top" wrapText="1"/>
    </xf>
    <xf numFmtId="0" fontId="0" fillId="0" borderId="1" xfId="0" applyBorder="1" applyAlignment="1">
      <alignment horizontal="center"/>
    </xf>
    <xf numFmtId="164" fontId="46" fillId="0" borderId="0" xfId="0" applyNumberFormat="1" applyFont="1"/>
    <xf numFmtId="0" fontId="46" fillId="0" borderId="0" xfId="0" applyFont="1"/>
    <xf numFmtId="0" fontId="3" fillId="0" borderId="1" xfId="0" applyFont="1" applyBorder="1"/>
    <xf numFmtId="164" fontId="4" fillId="0" borderId="1" xfId="0" applyNumberFormat="1" applyFont="1" applyBorder="1" applyAlignment="1">
      <alignment horizontal="right"/>
    </xf>
    <xf numFmtId="2" fontId="0" fillId="0" borderId="1" xfId="0" applyNumberFormat="1" applyBorder="1"/>
    <xf numFmtId="0" fontId="11" fillId="0" borderId="0" xfId="0" applyFont="1" applyAlignment="1">
      <alignment horizontal="justify" vertical="center"/>
    </xf>
    <xf numFmtId="164" fontId="16" fillId="0" borderId="0" xfId="0" applyNumberFormat="1" applyFont="1"/>
    <xf numFmtId="0" fontId="2" fillId="0" borderId="0" xfId="0" applyFont="1" applyAlignment="1">
      <alignment horizontal="left" indent="14"/>
    </xf>
    <xf numFmtId="49" fontId="12" fillId="0" borderId="1" xfId="0" applyNumberFormat="1" applyFont="1" applyBorder="1" applyAlignment="1">
      <alignment horizontal="center"/>
    </xf>
    <xf numFmtId="0" fontId="47" fillId="0" borderId="1" xfId="0" applyFont="1" applyBorder="1" applyAlignment="1">
      <alignment wrapText="1"/>
    </xf>
    <xf numFmtId="49" fontId="15" fillId="0" borderId="1" xfId="0" applyNumberFormat="1" applyFont="1" applyBorder="1" applyAlignment="1">
      <alignment horizontal="center"/>
    </xf>
    <xf numFmtId="49" fontId="13" fillId="0" borderId="1" xfId="0" applyNumberFormat="1" applyFont="1" applyBorder="1" applyAlignment="1">
      <alignment horizontal="center"/>
    </xf>
    <xf numFmtId="164" fontId="9" fillId="0" borderId="1" xfId="0" applyNumberFormat="1" applyFont="1" applyBorder="1" applyAlignment="1">
      <alignment horizontal="right"/>
    </xf>
    <xf numFmtId="0" fontId="48" fillId="0" borderId="1" xfId="0" applyFont="1" applyBorder="1" applyAlignment="1">
      <alignment wrapText="1"/>
    </xf>
    <xf numFmtId="49" fontId="39" fillId="0" borderId="1" xfId="0" applyNumberFormat="1" applyFont="1" applyBorder="1" applyAlignment="1">
      <alignment horizontal="center"/>
    </xf>
    <xf numFmtId="0" fontId="11" fillId="0" borderId="0" xfId="0" applyFont="1" applyAlignment="1">
      <alignment vertical="center" wrapText="1"/>
    </xf>
    <xf numFmtId="49" fontId="11" fillId="0" borderId="0" xfId="0" applyNumberFormat="1" applyFont="1" applyAlignment="1">
      <alignment horizontal="center"/>
    </xf>
    <xf numFmtId="49" fontId="41" fillId="0" borderId="1" xfId="4" applyNumberFormat="1" applyFont="1" applyBorder="1" applyAlignment="1">
      <alignment horizontal="center" shrinkToFit="1"/>
    </xf>
    <xf numFmtId="49" fontId="41" fillId="0" borderId="0" xfId="4" applyNumberFormat="1" applyFont="1" applyBorder="1" applyAlignment="1">
      <alignment horizontal="center" shrinkToFit="1"/>
    </xf>
    <xf numFmtId="49" fontId="11" fillId="0" borderId="10" xfId="0" applyNumberFormat="1" applyFont="1" applyBorder="1" applyAlignment="1">
      <alignment horizontal="center"/>
    </xf>
    <xf numFmtId="164" fontId="0" fillId="0" borderId="7" xfId="0" applyNumberFormat="1" applyBorder="1"/>
    <xf numFmtId="0" fontId="25" fillId="0" borderId="2" xfId="0" applyFont="1" applyBorder="1" applyAlignment="1">
      <alignment horizontal="left" vertical="center" wrapText="1"/>
    </xf>
    <xf numFmtId="0" fontId="25" fillId="0" borderId="4" xfId="0" applyFont="1" applyBorder="1" applyAlignment="1">
      <alignment horizontal="left" vertical="center" wrapText="1"/>
    </xf>
    <xf numFmtId="0" fontId="11" fillId="0" borderId="1" xfId="0" applyFont="1" applyBorder="1" applyAlignment="1">
      <alignment vertical="center" wrapText="1"/>
    </xf>
    <xf numFmtId="0" fontId="0" fillId="0" borderId="1" xfId="0" applyBorder="1" applyAlignment="1">
      <alignment wrapText="1"/>
    </xf>
    <xf numFmtId="0" fontId="0" fillId="0" borderId="1" xfId="0" applyBorder="1" applyAlignment="1">
      <alignment horizontal="center" wrapText="1"/>
    </xf>
    <xf numFmtId="0" fontId="0" fillId="0" borderId="0" xfId="0"/>
    <xf numFmtId="0" fontId="0" fillId="0" borderId="1" xfId="0" applyBorder="1" applyAlignment="1">
      <alignment wrapText="1"/>
    </xf>
    <xf numFmtId="0" fontId="0" fillId="0" borderId="1" xfId="0" applyBorder="1" applyAlignment="1">
      <alignment horizontal="center" wrapText="1"/>
    </xf>
    <xf numFmtId="0" fontId="0" fillId="0" borderId="0" xfId="0"/>
    <xf numFmtId="0" fontId="0" fillId="0" borderId="1" xfId="0" applyBorder="1" applyAlignment="1">
      <alignment wrapText="1"/>
    </xf>
    <xf numFmtId="0" fontId="0" fillId="0" borderId="1" xfId="0" applyBorder="1" applyAlignment="1">
      <alignment horizontal="center" wrapText="1"/>
    </xf>
    <xf numFmtId="0" fontId="0" fillId="0" borderId="0" xfId="0"/>
    <xf numFmtId="0" fontId="0" fillId="0" borderId="1" xfId="0" applyBorder="1" applyAlignment="1">
      <alignment wrapText="1"/>
    </xf>
    <xf numFmtId="0" fontId="0" fillId="0" borderId="2" xfId="0" applyBorder="1" applyAlignment="1">
      <alignment horizontal="center" wrapText="1"/>
    </xf>
    <xf numFmtId="0" fontId="0" fillId="0" borderId="1" xfId="0" applyBorder="1" applyAlignment="1">
      <alignment wrapText="1"/>
    </xf>
    <xf numFmtId="0" fontId="0" fillId="0" borderId="2" xfId="0" applyBorder="1" applyAlignment="1">
      <alignment wrapText="1"/>
    </xf>
    <xf numFmtId="0" fontId="0" fillId="0" borderId="1" xfId="0" applyBorder="1" applyAlignment="1">
      <alignment horizontal="center" wrapText="1"/>
    </xf>
    <xf numFmtId="0" fontId="0" fillId="0" borderId="0" xfId="0" applyAlignment="1">
      <alignment horizontal="center" wrapText="1"/>
    </xf>
    <xf numFmtId="0" fontId="0" fillId="0" borderId="0" xfId="0"/>
    <xf numFmtId="0" fontId="0" fillId="0" borderId="6" xfId="0" applyBorder="1" applyAlignment="1">
      <alignment wrapText="1"/>
    </xf>
    <xf numFmtId="0" fontId="2" fillId="0" borderId="0" xfId="0" applyFont="1" applyAlignment="1">
      <alignment horizontal="left" indent="25"/>
    </xf>
    <xf numFmtId="0" fontId="2" fillId="0" borderId="0" xfId="0" applyFont="1" applyAlignment="1">
      <alignment horizontal="left" indent="20"/>
    </xf>
    <xf numFmtId="0" fontId="2" fillId="0" borderId="0" xfId="0" applyFont="1" applyAlignment="1">
      <alignment horizontal="left" indent="12"/>
    </xf>
    <xf numFmtId="164" fontId="49" fillId="0" borderId="1" xfId="0" applyNumberFormat="1" applyFont="1" applyBorder="1"/>
    <xf numFmtId="164" fontId="11" fillId="0" borderId="1" xfId="0" applyNumberFormat="1" applyFont="1" applyFill="1" applyBorder="1"/>
    <xf numFmtId="164" fontId="0" fillId="0" borderId="1" xfId="0" applyNumberFormat="1" applyFont="1" applyBorder="1"/>
    <xf numFmtId="0" fontId="2" fillId="0" borderId="0" xfId="0" applyFont="1" applyAlignment="1">
      <alignment horizontal="left" indent="21"/>
    </xf>
    <xf numFmtId="0" fontId="0" fillId="0" borderId="0" xfId="0" applyAlignment="1">
      <alignment horizontal="left" indent="21"/>
    </xf>
    <xf numFmtId="0" fontId="0" fillId="0" borderId="0" xfId="0" applyAlignment="1"/>
    <xf numFmtId="0" fontId="6" fillId="0" borderId="0" xfId="0" applyFont="1" applyAlignment="1">
      <alignment horizontal="center" wrapText="1"/>
    </xf>
    <xf numFmtId="0" fontId="6" fillId="0" borderId="0" xfId="0" applyFont="1"/>
    <xf numFmtId="0" fontId="0" fillId="0" borderId="5" xfId="0" applyBorder="1" applyAlignment="1">
      <alignment horizontal="center" wrapText="1"/>
    </xf>
    <xf numFmtId="0" fontId="25" fillId="0" borderId="1" xfId="0" applyFont="1" applyFill="1" applyBorder="1" applyAlignment="1">
      <alignment horizontal="left" vertical="center" wrapText="1"/>
    </xf>
    <xf numFmtId="49" fontId="0" fillId="0" borderId="1" xfId="0" applyNumberFormat="1" applyFont="1" applyBorder="1" applyAlignment="1">
      <alignment horizontal="center"/>
    </xf>
    <xf numFmtId="0" fontId="0" fillId="0" borderId="1" xfId="0" applyFont="1" applyBorder="1" applyAlignment="1">
      <alignment wrapText="1"/>
    </xf>
    <xf numFmtId="14" fontId="0" fillId="0" borderId="1" xfId="0" applyNumberFormat="1" applyFont="1" applyBorder="1" applyAlignment="1">
      <alignment horizontal="right" wrapText="1"/>
    </xf>
    <xf numFmtId="164" fontId="0" fillId="0" borderId="1" xfId="0" applyNumberFormat="1" applyFont="1" applyFill="1" applyBorder="1"/>
    <xf numFmtId="0" fontId="3" fillId="0" borderId="0" xfId="0" applyFont="1" applyBorder="1"/>
    <xf numFmtId="49" fontId="3" fillId="0" borderId="0" xfId="0" applyNumberFormat="1" applyFont="1" applyBorder="1" applyAlignment="1">
      <alignment horizontal="center"/>
    </xf>
    <xf numFmtId="0" fontId="11" fillId="0" borderId="0" xfId="0" applyFont="1" applyBorder="1" applyAlignment="1">
      <alignment wrapText="1"/>
    </xf>
    <xf numFmtId="164" fontId="1" fillId="0" borderId="0" xfId="0" applyNumberFormat="1" applyFont="1" applyBorder="1"/>
    <xf numFmtId="49" fontId="1" fillId="0" borderId="0" xfId="0" applyNumberFormat="1" applyFont="1" applyBorder="1" applyAlignment="1">
      <alignment horizontal="center"/>
    </xf>
    <xf numFmtId="0" fontId="25" fillId="0" borderId="0" xfId="0" applyFont="1" applyFill="1" applyBorder="1" applyAlignment="1">
      <alignment horizontal="left" vertical="center" wrapText="1"/>
    </xf>
    <xf numFmtId="164" fontId="1" fillId="0" borderId="0" xfId="0" applyNumberFormat="1" applyFont="1" applyBorder="1" applyAlignment="1">
      <alignment horizontal="center"/>
    </xf>
    <xf numFmtId="0" fontId="0" fillId="0" borderId="0" xfId="0" applyProtection="1">
      <protection locked="0"/>
    </xf>
    <xf numFmtId="164" fontId="0" fillId="0" borderId="0" xfId="0" applyNumberFormat="1" applyProtection="1">
      <protection locked="0"/>
    </xf>
    <xf numFmtId="164" fontId="1" fillId="0" borderId="1" xfId="0" applyNumberFormat="1" applyFont="1" applyFill="1" applyBorder="1"/>
    <xf numFmtId="164" fontId="4" fillId="0" borderId="1" xfId="0" applyNumberFormat="1" applyFont="1" applyFill="1" applyBorder="1"/>
    <xf numFmtId="164" fontId="9" fillId="0" borderId="1" xfId="0" applyNumberFormat="1" applyFont="1" applyFill="1" applyBorder="1"/>
    <xf numFmtId="164" fontId="18" fillId="0" borderId="1" xfId="0" applyNumberFormat="1" applyFont="1" applyFill="1" applyBorder="1"/>
    <xf numFmtId="164" fontId="17" fillId="0" borderId="1" xfId="0" applyNumberFormat="1" applyFont="1" applyFill="1" applyBorder="1"/>
    <xf numFmtId="0" fontId="0" fillId="0" borderId="1" xfId="0" applyBorder="1" applyAlignment="1">
      <alignment wrapText="1"/>
    </xf>
    <xf numFmtId="0" fontId="5" fillId="0" borderId="0" xfId="0" applyFont="1" applyAlignment="1">
      <alignment horizontal="center" wrapText="1"/>
    </xf>
    <xf numFmtId="0" fontId="0" fillId="0" borderId="2" xfId="0" applyBorder="1" applyAlignment="1">
      <alignment wrapText="1"/>
    </xf>
    <xf numFmtId="0" fontId="0" fillId="0" borderId="1" xfId="0"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0" fontId="0" fillId="0" borderId="0" xfId="0"/>
    <xf numFmtId="164" fontId="10" fillId="0" borderId="0" xfId="0" applyNumberFormat="1" applyFont="1"/>
    <xf numFmtId="0" fontId="2" fillId="0" borderId="0" xfId="0" applyFont="1" applyAlignment="1">
      <alignment horizontal="left" indent="26"/>
    </xf>
    <xf numFmtId="0" fontId="0" fillId="0" borderId="0" xfId="0" applyAlignment="1">
      <alignment horizontal="left" indent="19"/>
    </xf>
    <xf numFmtId="0" fontId="0" fillId="0" borderId="0" xfId="0" applyAlignment="1">
      <alignment horizontal="left" indent="26"/>
    </xf>
    <xf numFmtId="0" fontId="0" fillId="0" borderId="0" xfId="0" applyAlignment="1">
      <alignment horizontal="left" indent="10"/>
    </xf>
    <xf numFmtId="0" fontId="0" fillId="0" borderId="1" xfId="0" applyBorder="1" applyAlignment="1">
      <alignment horizontal="center" vertical="center" wrapText="1"/>
    </xf>
    <xf numFmtId="164" fontId="11" fillId="0" borderId="2" xfId="0" applyNumberFormat="1" applyFont="1" applyBorder="1" applyAlignment="1">
      <alignment wrapText="1"/>
    </xf>
    <xf numFmtId="164" fontId="11" fillId="0" borderId="1" xfId="0" applyNumberFormat="1" applyFont="1" applyBorder="1" applyAlignment="1">
      <alignment wrapText="1"/>
    </xf>
    <xf numFmtId="49" fontId="11" fillId="0" borderId="1" xfId="0" applyNumberFormat="1" applyFont="1" applyBorder="1" applyAlignment="1">
      <alignment horizontal="center" vertical="center"/>
    </xf>
    <xf numFmtId="164" fontId="0" fillId="0" borderId="1" xfId="0" applyNumberFormat="1" applyBorder="1" applyAlignment="1">
      <alignment vertical="center" wrapText="1"/>
    </xf>
    <xf numFmtId="49" fontId="11" fillId="0" borderId="4" xfId="0" applyNumberFormat="1" applyFont="1" applyBorder="1" applyAlignment="1">
      <alignment horizontal="center" vertical="center"/>
    </xf>
    <xf numFmtId="0" fontId="2" fillId="0" borderId="0" xfId="0" applyFont="1" applyAlignment="1">
      <alignment horizontal="left" indent="15"/>
    </xf>
    <xf numFmtId="0" fontId="0" fillId="0" borderId="1" xfId="0" applyBorder="1" applyAlignment="1">
      <alignment wrapText="1"/>
    </xf>
    <xf numFmtId="0" fontId="0" fillId="0" borderId="1" xfId="0" applyBorder="1" applyAlignment="1">
      <alignment horizontal="center" wrapText="1"/>
    </xf>
    <xf numFmtId="0" fontId="0" fillId="0" borderId="0" xfId="0" applyAlignment="1">
      <alignment horizontal="center" wrapText="1"/>
    </xf>
    <xf numFmtId="0" fontId="0" fillId="0" borderId="0" xfId="0"/>
    <xf numFmtId="164" fontId="11" fillId="0" borderId="2" xfId="0" applyNumberFormat="1" applyFont="1" applyBorder="1" applyAlignment="1">
      <alignment wrapText="1"/>
    </xf>
    <xf numFmtId="49" fontId="3" fillId="0" borderId="1" xfId="0" applyNumberFormat="1" applyFont="1" applyBorder="1" applyAlignment="1">
      <alignment horizontal="center" wrapText="1"/>
    </xf>
    <xf numFmtId="0" fontId="0" fillId="0" borderId="1" xfId="0" applyBorder="1" applyAlignment="1">
      <alignment wrapText="1"/>
    </xf>
    <xf numFmtId="0" fontId="5" fillId="0" borderId="0" xfId="0" applyFont="1" applyAlignment="1">
      <alignment horizontal="center" wrapText="1"/>
    </xf>
    <xf numFmtId="0" fontId="1" fillId="0" borderId="0" xfId="0" applyFont="1" applyAlignment="1">
      <alignment horizontal="center" wrapText="1"/>
    </xf>
    <xf numFmtId="0" fontId="0" fillId="0" borderId="0" xfId="0" applyAlignment="1">
      <alignment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0" fillId="0" borderId="2" xfId="0" applyBorder="1" applyAlignment="1">
      <alignment wrapText="1"/>
    </xf>
    <xf numFmtId="0" fontId="0" fillId="0" borderId="4" xfId="0" applyBorder="1" applyAlignment="1">
      <alignment wrapText="1"/>
    </xf>
    <xf numFmtId="0" fontId="0" fillId="0" borderId="1" xfId="0" applyBorder="1" applyAlignment="1">
      <alignment horizontal="center" wrapText="1"/>
    </xf>
    <xf numFmtId="0" fontId="0" fillId="0" borderId="10" xfId="0" applyBorder="1" applyAlignment="1">
      <alignment horizontal="center" wrapText="1"/>
    </xf>
    <xf numFmtId="0" fontId="0" fillId="0" borderId="7" xfId="0" applyBorder="1" applyAlignment="1">
      <alignment wrapText="1"/>
    </xf>
    <xf numFmtId="0" fontId="8" fillId="0" borderId="2" xfId="0" applyFont="1" applyBorder="1" applyAlignment="1">
      <alignment wrapText="1"/>
    </xf>
    <xf numFmtId="0" fontId="8" fillId="0" borderId="4" xfId="0" applyFont="1" applyBorder="1" applyAlignment="1">
      <alignment wrapText="1"/>
    </xf>
    <xf numFmtId="0" fontId="0" fillId="0" borderId="2" xfId="0" applyBorder="1" applyAlignment="1">
      <alignment horizontal="center" wrapText="1"/>
    </xf>
    <xf numFmtId="0" fontId="0" fillId="0" borderId="4" xfId="0" applyBorder="1" applyAlignment="1">
      <alignment horizontal="center" wrapText="1"/>
    </xf>
    <xf numFmtId="0" fontId="0" fillId="0" borderId="0" xfId="0" applyAlignment="1">
      <alignment horizontal="center" wrapText="1"/>
    </xf>
    <xf numFmtId="0" fontId="0" fillId="0" borderId="0" xfId="0"/>
    <xf numFmtId="0" fontId="13" fillId="0" borderId="1" xfId="0" applyFont="1" applyBorder="1" applyAlignment="1">
      <alignment wrapText="1"/>
    </xf>
    <xf numFmtId="0" fontId="1" fillId="0" borderId="4" xfId="0" applyFont="1" applyBorder="1" applyAlignment="1">
      <alignment wrapText="1"/>
    </xf>
    <xf numFmtId="0" fontId="0" fillId="0" borderId="5"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5" xfId="0" applyBorder="1" applyAlignment="1">
      <alignment horizontal="center" wrapText="1"/>
    </xf>
    <xf numFmtId="0" fontId="0" fillId="0" borderId="15" xfId="0" applyBorder="1" applyAlignment="1">
      <alignment horizontal="center" wrapText="1"/>
    </xf>
    <xf numFmtId="49" fontId="11" fillId="0" borderId="2" xfId="0" applyNumberFormat="1" applyFont="1" applyBorder="1" applyAlignment="1">
      <alignment horizontal="center" vertical="center" wrapText="1"/>
    </xf>
    <xf numFmtId="0" fontId="0" fillId="0" borderId="4" xfId="0" applyBorder="1" applyAlignment="1">
      <alignment horizontal="center" vertical="center" wrapText="1"/>
    </xf>
    <xf numFmtId="164" fontId="0" fillId="0" borderId="2" xfId="0" applyNumberFormat="1" applyBorder="1" applyAlignment="1">
      <alignment vertical="center" wrapText="1"/>
    </xf>
    <xf numFmtId="0" fontId="0" fillId="0" borderId="4" xfId="0" applyBorder="1" applyAlignment="1">
      <alignment vertical="center" wrapText="1"/>
    </xf>
    <xf numFmtId="164" fontId="11" fillId="0" borderId="2" xfId="0" applyNumberFormat="1" applyFont="1" applyBorder="1" applyAlignment="1">
      <alignment wrapText="1"/>
    </xf>
    <xf numFmtId="0" fontId="0" fillId="0" borderId="16" xfId="0" applyBorder="1" applyAlignment="1">
      <alignment horizontal="center" vertical="center" wrapText="1"/>
    </xf>
    <xf numFmtId="164" fontId="11" fillId="0" borderId="2" xfId="0" applyNumberFormat="1" applyFont="1" applyBorder="1" applyAlignment="1">
      <alignment horizontal="left" wrapText="1"/>
    </xf>
    <xf numFmtId="0" fontId="0" fillId="0" borderId="4" xfId="0" applyBorder="1" applyAlignment="1">
      <alignment horizontal="left" wrapText="1"/>
    </xf>
    <xf numFmtId="164" fontId="0" fillId="0" borderId="2" xfId="0" applyNumberFormat="1" applyBorder="1" applyAlignment="1">
      <alignment horizontal="center" vertical="center" wrapText="1"/>
    </xf>
    <xf numFmtId="49" fontId="11" fillId="0" borderId="4" xfId="0" applyNumberFormat="1" applyFont="1" applyBorder="1" applyAlignment="1">
      <alignment horizontal="center" vertical="center" wrapText="1"/>
    </xf>
    <xf numFmtId="164" fontId="0" fillId="0" borderId="4" xfId="0" applyNumberFormat="1" applyBorder="1" applyAlignment="1">
      <alignment vertical="center" wrapText="1"/>
    </xf>
    <xf numFmtId="49" fontId="11" fillId="0" borderId="2" xfId="0" applyNumberFormat="1"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wrapText="1"/>
    </xf>
    <xf numFmtId="164" fontId="0" fillId="0" borderId="7" xfId="0" applyNumberFormat="1" applyBorder="1" applyAlignment="1">
      <alignment wrapText="1"/>
    </xf>
    <xf numFmtId="164" fontId="11" fillId="0" borderId="1" xfId="0" applyNumberFormat="1" applyFont="1" applyBorder="1" applyAlignment="1">
      <alignment horizontal="right" wrapText="1"/>
    </xf>
    <xf numFmtId="164" fontId="0" fillId="0" borderId="1" xfId="0" applyNumberFormat="1" applyBorder="1" applyAlignment="1">
      <alignment horizontal="right" wrapText="1"/>
    </xf>
  </cellXfs>
  <cellStyles count="6">
    <cellStyle name="Normal" xfId="1"/>
    <cellStyle name="xl25" xfId="4"/>
    <cellStyle name="xl37" xfId="5"/>
    <cellStyle name="Название" xfId="2" builtinId="15" customBuiltin="1"/>
    <cellStyle name="Обычный" xfId="0" builtinId="0"/>
    <cellStyle name="Обычный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3063"/>
      <rgbColor rgb="00EAEAEA"/>
      <rgbColor rgb="00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topLeftCell="A16" workbookViewId="0">
      <selection activeCell="F22" sqref="F22"/>
    </sheetView>
  </sheetViews>
  <sheetFormatPr defaultColWidth="9.109375" defaultRowHeight="13.2" x14ac:dyDescent="0.25"/>
  <cols>
    <col min="1" max="1" width="24" customWidth="1"/>
    <col min="2" max="2" width="29.33203125" customWidth="1"/>
    <col min="3" max="3" width="11.88671875" bestFit="1" customWidth="1"/>
    <col min="4" max="4" width="10" hidden="1" customWidth="1"/>
    <col min="5" max="5" width="1.88671875" hidden="1" customWidth="1"/>
    <col min="6" max="6" width="11.6640625" customWidth="1"/>
  </cols>
  <sheetData>
    <row r="1" spans="1:6" x14ac:dyDescent="0.25">
      <c r="A1" s="7"/>
      <c r="B1" s="185" t="s">
        <v>134</v>
      </c>
      <c r="C1" s="88"/>
    </row>
    <row r="2" spans="1:6" x14ac:dyDescent="0.25">
      <c r="A2" s="7"/>
      <c r="B2" s="185" t="s">
        <v>366</v>
      </c>
      <c r="C2" s="88"/>
    </row>
    <row r="3" spans="1:6" x14ac:dyDescent="0.25">
      <c r="A3" s="7"/>
      <c r="B3" s="185" t="s">
        <v>716</v>
      </c>
      <c r="C3" s="88"/>
    </row>
    <row r="4" spans="1:6" x14ac:dyDescent="0.25">
      <c r="A4" s="7"/>
      <c r="B4" s="185" t="s">
        <v>717</v>
      </c>
      <c r="C4" s="88"/>
    </row>
    <row r="5" spans="1:6" x14ac:dyDescent="0.25">
      <c r="A5" s="7"/>
      <c r="B5" s="185" t="s">
        <v>718</v>
      </c>
      <c r="C5" s="88"/>
    </row>
    <row r="6" spans="1:6" x14ac:dyDescent="0.25">
      <c r="A6" s="7"/>
      <c r="B6" s="149"/>
      <c r="C6" s="88"/>
    </row>
    <row r="7" spans="1:6" x14ac:dyDescent="0.25">
      <c r="A7" s="7"/>
      <c r="B7" s="149"/>
      <c r="C7" s="88"/>
    </row>
    <row r="8" spans="1:6" ht="19.5" customHeight="1" x14ac:dyDescent="0.25">
      <c r="A8" s="240" t="s">
        <v>719</v>
      </c>
      <c r="B8" s="241"/>
      <c r="C8" s="241"/>
      <c r="D8" s="242"/>
      <c r="E8" s="242"/>
      <c r="F8" s="242"/>
    </row>
    <row r="10" spans="1:6" x14ac:dyDescent="0.25">
      <c r="C10" s="110"/>
    </row>
    <row r="11" spans="1:6" s="112" customFormat="1" ht="12.75" customHeight="1" x14ac:dyDescent="0.25">
      <c r="A11" s="243" t="s">
        <v>316</v>
      </c>
      <c r="B11" s="245" t="s">
        <v>721</v>
      </c>
      <c r="C11" s="247" t="s">
        <v>28</v>
      </c>
      <c r="D11" s="239"/>
      <c r="E11" s="239"/>
      <c r="F11" s="239"/>
    </row>
    <row r="12" spans="1:6" s="112" customFormat="1" ht="42" customHeight="1" x14ac:dyDescent="0.25">
      <c r="A12" s="244"/>
      <c r="B12" s="246"/>
      <c r="C12" s="176" t="s">
        <v>720</v>
      </c>
      <c r="D12" s="1" t="s">
        <v>137</v>
      </c>
      <c r="E12" s="1" t="s">
        <v>138</v>
      </c>
      <c r="F12" s="175" t="s">
        <v>722</v>
      </c>
    </row>
    <row r="13" spans="1:6" s="112" customFormat="1" ht="34.799999999999997" x14ac:dyDescent="0.25">
      <c r="A13" s="150" t="s">
        <v>615</v>
      </c>
      <c r="B13" s="151" t="s">
        <v>638</v>
      </c>
      <c r="C13" s="115">
        <v>0</v>
      </c>
      <c r="D13" s="115">
        <f>D14+D16</f>
        <v>-47400</v>
      </c>
      <c r="E13" s="115">
        <f>E14+E16</f>
        <v>-47400</v>
      </c>
      <c r="F13" s="115">
        <f>F14+F16</f>
        <v>0</v>
      </c>
    </row>
    <row r="14" spans="1:6" s="112" customFormat="1" ht="34.5" customHeight="1" x14ac:dyDescent="0.25">
      <c r="A14" s="152" t="s">
        <v>639</v>
      </c>
      <c r="B14" s="113" t="s">
        <v>640</v>
      </c>
      <c r="C14" s="111">
        <v>0</v>
      </c>
      <c r="D14" s="111"/>
      <c r="E14" s="111"/>
      <c r="F14" s="111"/>
    </row>
    <row r="15" spans="1:6" s="112" customFormat="1" ht="59.25" customHeight="1" x14ac:dyDescent="0.25">
      <c r="A15" s="153" t="s">
        <v>641</v>
      </c>
      <c r="B15" s="114" t="s">
        <v>642</v>
      </c>
      <c r="C15" s="111">
        <v>0</v>
      </c>
      <c r="D15" s="111"/>
      <c r="E15" s="111"/>
      <c r="F15" s="111"/>
    </row>
    <row r="16" spans="1:6" s="19" customFormat="1" ht="57.6" x14ac:dyDescent="0.25">
      <c r="A16" s="152" t="s">
        <v>643</v>
      </c>
      <c r="B16" s="113" t="s">
        <v>644</v>
      </c>
      <c r="C16" s="111">
        <f>C17</f>
        <v>0</v>
      </c>
      <c r="D16" s="111">
        <f t="shared" ref="D16:F16" si="0">D17</f>
        <v>-47400</v>
      </c>
      <c r="E16" s="111">
        <f t="shared" si="0"/>
        <v>-47400</v>
      </c>
      <c r="F16" s="111">
        <f t="shared" si="0"/>
        <v>0</v>
      </c>
    </row>
    <row r="17" spans="1:6" ht="122.25" customHeight="1" x14ac:dyDescent="0.25">
      <c r="A17" s="153" t="s">
        <v>645</v>
      </c>
      <c r="B17" s="114" t="s">
        <v>646</v>
      </c>
      <c r="C17" s="111">
        <v>0</v>
      </c>
      <c r="D17" s="111">
        <v>-47400</v>
      </c>
      <c r="E17" s="111">
        <v>-47400</v>
      </c>
      <c r="F17" s="111">
        <v>0</v>
      </c>
    </row>
    <row r="18" spans="1:6" ht="24.75" customHeight="1" x14ac:dyDescent="0.25">
      <c r="A18" s="90" t="s">
        <v>317</v>
      </c>
      <c r="B18" s="116" t="s">
        <v>318</v>
      </c>
      <c r="C18" s="115">
        <f t="shared" ref="C18:F18" si="1">C19+C21</f>
        <v>46972.200000000186</v>
      </c>
      <c r="D18" s="115">
        <f t="shared" si="1"/>
        <v>0</v>
      </c>
      <c r="E18" s="115">
        <f t="shared" si="1"/>
        <v>0</v>
      </c>
      <c r="F18" s="115">
        <f t="shared" si="1"/>
        <v>-29621.600000000093</v>
      </c>
    </row>
    <row r="19" spans="1:6" ht="26.25" customHeight="1" x14ac:dyDescent="0.25">
      <c r="A19" s="24" t="s">
        <v>319</v>
      </c>
      <c r="B19" s="113" t="s">
        <v>320</v>
      </c>
      <c r="C19" s="117">
        <f>C20</f>
        <v>-1202734.8999999999</v>
      </c>
      <c r="D19" s="117">
        <f t="shared" ref="D19:E19" si="2">D20</f>
        <v>0</v>
      </c>
      <c r="E19" s="117">
        <f t="shared" si="2"/>
        <v>0</v>
      </c>
      <c r="F19" s="117">
        <f>F20</f>
        <v>-1217475</v>
      </c>
    </row>
    <row r="20" spans="1:6" ht="34.799999999999997" x14ac:dyDescent="0.25">
      <c r="A20" s="25" t="s">
        <v>616</v>
      </c>
      <c r="B20" s="114" t="s">
        <v>321</v>
      </c>
      <c r="C20" s="111">
        <v>-1202734.8999999999</v>
      </c>
      <c r="D20" s="111"/>
      <c r="E20" s="111"/>
      <c r="F20" s="111">
        <v>-1217475</v>
      </c>
    </row>
    <row r="21" spans="1:6" ht="23.4" x14ac:dyDescent="0.25">
      <c r="A21" s="24" t="s">
        <v>322</v>
      </c>
      <c r="B21" s="113" t="s">
        <v>323</v>
      </c>
      <c r="C21" s="117">
        <f>C22</f>
        <v>1249707.1000000001</v>
      </c>
      <c r="D21" s="117">
        <f t="shared" ref="D21:F21" si="3">D22</f>
        <v>0</v>
      </c>
      <c r="E21" s="117">
        <f t="shared" si="3"/>
        <v>0</v>
      </c>
      <c r="F21" s="117">
        <f t="shared" si="3"/>
        <v>1187853.3999999999</v>
      </c>
    </row>
    <row r="22" spans="1:6" ht="34.799999999999997" x14ac:dyDescent="0.25">
      <c r="A22" s="118" t="s">
        <v>617</v>
      </c>
      <c r="B22" s="119" t="s">
        <v>324</v>
      </c>
      <c r="C22" s="111">
        <v>1249707.1000000001</v>
      </c>
      <c r="D22" s="111"/>
      <c r="E22" s="111"/>
      <c r="F22" s="111">
        <v>1187853.3999999999</v>
      </c>
    </row>
    <row r="23" spans="1:6" ht="12.75" customHeight="1" x14ac:dyDescent="0.25">
      <c r="A23" s="238" t="s">
        <v>325</v>
      </c>
      <c r="B23" s="239"/>
      <c r="C23" s="115">
        <f>C13+C19+C21</f>
        <v>46972.200000000186</v>
      </c>
      <c r="D23" s="115">
        <f t="shared" ref="D23:F23" si="4">D13+D19+D21</f>
        <v>-47400</v>
      </c>
      <c r="E23" s="115">
        <f t="shared" si="4"/>
        <v>-47400</v>
      </c>
      <c r="F23" s="115">
        <f t="shared" si="4"/>
        <v>-29621.600000000093</v>
      </c>
    </row>
  </sheetData>
  <mergeCells count="5">
    <mergeCell ref="A23:B23"/>
    <mergeCell ref="A8:F8"/>
    <mergeCell ref="A11:A12"/>
    <mergeCell ref="B11:B12"/>
    <mergeCell ref="C11:F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G58"/>
  <sheetViews>
    <sheetView workbookViewId="0">
      <selection activeCell="F55" sqref="F55"/>
    </sheetView>
  </sheetViews>
  <sheetFormatPr defaultColWidth="9.109375" defaultRowHeight="13.8" x14ac:dyDescent="0.25"/>
  <cols>
    <col min="1" max="1" width="3" style="19" customWidth="1"/>
    <col min="2" max="2" width="3.109375" customWidth="1"/>
    <col min="3" max="3" width="3.33203125" customWidth="1"/>
    <col min="4" max="4" width="42.6640625" customWidth="1"/>
    <col min="5" max="5" width="12.44140625" customWidth="1"/>
    <col min="6" max="6" width="12.5546875" customWidth="1"/>
    <col min="7" max="7" width="7.88671875" customWidth="1"/>
  </cols>
  <sheetData>
    <row r="1" spans="1:7" x14ac:dyDescent="0.25">
      <c r="D1" s="183" t="s">
        <v>552</v>
      </c>
    </row>
    <row r="2" spans="1:7" x14ac:dyDescent="0.25">
      <c r="D2" s="183" t="s">
        <v>366</v>
      </c>
    </row>
    <row r="3" spans="1:7" x14ac:dyDescent="0.25">
      <c r="D3" s="183" t="s">
        <v>716</v>
      </c>
    </row>
    <row r="4" spans="1:7" x14ac:dyDescent="0.25">
      <c r="D4" s="183" t="s">
        <v>717</v>
      </c>
    </row>
    <row r="5" spans="1:7" x14ac:dyDescent="0.25">
      <c r="D5" s="183" t="s">
        <v>718</v>
      </c>
    </row>
    <row r="6" spans="1:7" x14ac:dyDescent="0.25">
      <c r="D6" s="87"/>
    </row>
    <row r="7" spans="1:7" x14ac:dyDescent="0.25">
      <c r="D7" s="87"/>
    </row>
    <row r="8" spans="1:7" ht="36" customHeight="1" x14ac:dyDescent="0.25">
      <c r="A8" s="240" t="s">
        <v>725</v>
      </c>
      <c r="B8" s="240"/>
      <c r="C8" s="240"/>
      <c r="D8" s="240"/>
      <c r="E8" s="240"/>
      <c r="F8" s="242"/>
      <c r="G8" s="242"/>
    </row>
    <row r="10" spans="1:7" x14ac:dyDescent="0.25">
      <c r="E10" s="6"/>
    </row>
    <row r="11" spans="1:7" ht="13.2" x14ac:dyDescent="0.25">
      <c r="A11" s="250" t="s">
        <v>86</v>
      </c>
      <c r="B11" s="252" t="s">
        <v>21</v>
      </c>
      <c r="C11" s="252" t="s">
        <v>27</v>
      </c>
      <c r="D11" s="245" t="s">
        <v>89</v>
      </c>
      <c r="E11" s="248" t="s">
        <v>28</v>
      </c>
      <c r="F11" s="249"/>
      <c r="G11" s="245" t="s">
        <v>724</v>
      </c>
    </row>
    <row r="12" spans="1:7" ht="41.25" customHeight="1" x14ac:dyDescent="0.25">
      <c r="A12" s="251"/>
      <c r="B12" s="253"/>
      <c r="C12" s="253"/>
      <c r="D12" s="246"/>
      <c r="E12" s="175" t="s">
        <v>720</v>
      </c>
      <c r="F12" s="175" t="s">
        <v>723</v>
      </c>
      <c r="G12" s="246"/>
    </row>
    <row r="13" spans="1:7" ht="13.2" x14ac:dyDescent="0.25">
      <c r="A13" s="2">
        <v>1</v>
      </c>
      <c r="B13" s="2">
        <v>2</v>
      </c>
      <c r="C13" s="2">
        <v>3</v>
      </c>
      <c r="D13" s="2">
        <v>4</v>
      </c>
      <c r="E13" s="2">
        <v>5</v>
      </c>
      <c r="F13" s="2">
        <v>6</v>
      </c>
      <c r="G13" s="2">
        <v>7</v>
      </c>
    </row>
    <row r="14" spans="1:7" ht="17.399999999999999" x14ac:dyDescent="0.3">
      <c r="A14" s="67"/>
      <c r="B14" s="12"/>
      <c r="C14" s="12"/>
      <c r="D14" s="9" t="s">
        <v>91</v>
      </c>
      <c r="E14" s="94">
        <f>E15+E23+E27+E32+E37+E44+E47+E51+E53+E55</f>
        <v>1249707.1000000001</v>
      </c>
      <c r="F14" s="94">
        <f t="shared" ref="F14" si="0">F15+F23+F27+F32+F37+F44+F47+F51+F53+F55</f>
        <v>1187853.4000000001</v>
      </c>
      <c r="G14" s="186">
        <f t="shared" ref="G14:G56" si="1">ROUND((F14/E14*100),1)</f>
        <v>95.1</v>
      </c>
    </row>
    <row r="15" spans="1:7" ht="15.6" x14ac:dyDescent="0.3">
      <c r="A15" s="15">
        <v>1</v>
      </c>
      <c r="B15" s="4" t="s">
        <v>87</v>
      </c>
      <c r="C15" s="11"/>
      <c r="D15" s="3" t="s">
        <v>90</v>
      </c>
      <c r="E15" s="91">
        <f>SUM(E16:E22)</f>
        <v>141713.79999999999</v>
      </c>
      <c r="F15" s="91">
        <f>SUM(F16:F22)</f>
        <v>136002.1</v>
      </c>
      <c r="G15" s="186">
        <f t="shared" si="1"/>
        <v>96</v>
      </c>
    </row>
    <row r="16" spans="1:7" ht="39.6" x14ac:dyDescent="0.25">
      <c r="A16" s="67"/>
      <c r="B16" s="5" t="s">
        <v>87</v>
      </c>
      <c r="C16" s="5" t="s">
        <v>88</v>
      </c>
      <c r="D16" s="22" t="s">
        <v>17</v>
      </c>
      <c r="E16" s="39">
        <f>2367.1</f>
        <v>2367.1</v>
      </c>
      <c r="F16" s="39">
        <v>2336.5</v>
      </c>
      <c r="G16" s="93">
        <f t="shared" si="1"/>
        <v>98.7</v>
      </c>
    </row>
    <row r="17" spans="1:7" ht="52.8" x14ac:dyDescent="0.25">
      <c r="A17" s="67"/>
      <c r="B17" s="5" t="s">
        <v>87</v>
      </c>
      <c r="C17" s="5" t="s">
        <v>92</v>
      </c>
      <c r="D17" s="22" t="s">
        <v>126</v>
      </c>
      <c r="E17" s="39">
        <f>4140.6+44.9</f>
        <v>4185.5</v>
      </c>
      <c r="F17" s="39">
        <v>4087.4</v>
      </c>
      <c r="G17" s="93">
        <f t="shared" si="1"/>
        <v>97.7</v>
      </c>
    </row>
    <row r="18" spans="1:7" ht="52.8" x14ac:dyDescent="0.25">
      <c r="A18" s="67"/>
      <c r="B18" s="5" t="s">
        <v>87</v>
      </c>
      <c r="C18" s="5" t="s">
        <v>93</v>
      </c>
      <c r="D18" s="22" t="s">
        <v>119</v>
      </c>
      <c r="E18" s="39">
        <f>52390-463.3+400+907.5</f>
        <v>53234.2</v>
      </c>
      <c r="F18" s="39">
        <v>52313.1</v>
      </c>
      <c r="G18" s="93">
        <f t="shared" si="1"/>
        <v>98.3</v>
      </c>
    </row>
    <row r="19" spans="1:7" x14ac:dyDescent="0.25">
      <c r="A19" s="67"/>
      <c r="B19" s="5" t="s">
        <v>87</v>
      </c>
      <c r="C19" s="5" t="s">
        <v>94</v>
      </c>
      <c r="D19" s="98" t="s">
        <v>282</v>
      </c>
      <c r="E19" s="106">
        <v>2.1</v>
      </c>
      <c r="F19" s="106">
        <v>2.1</v>
      </c>
      <c r="G19" s="93">
        <f t="shared" si="1"/>
        <v>100</v>
      </c>
    </row>
    <row r="20" spans="1:7" ht="39.6" x14ac:dyDescent="0.25">
      <c r="A20" s="67"/>
      <c r="B20" s="5" t="s">
        <v>87</v>
      </c>
      <c r="C20" s="5" t="s">
        <v>95</v>
      </c>
      <c r="D20" s="98" t="s">
        <v>10</v>
      </c>
      <c r="E20" s="39">
        <f>12722.3-12+99+39.5+209.5+29.9</f>
        <v>13088.199999999999</v>
      </c>
      <c r="F20" s="39">
        <v>12987.4</v>
      </c>
      <c r="G20" s="93">
        <f t="shared" si="1"/>
        <v>99.2</v>
      </c>
    </row>
    <row r="21" spans="1:7" x14ac:dyDescent="0.25">
      <c r="A21" s="67"/>
      <c r="B21" s="5" t="s">
        <v>87</v>
      </c>
      <c r="C21" s="5" t="s">
        <v>101</v>
      </c>
      <c r="D21" s="98" t="s">
        <v>5</v>
      </c>
      <c r="E21" s="39">
        <v>250</v>
      </c>
      <c r="F21" s="39">
        <v>0</v>
      </c>
      <c r="G21" s="93">
        <f t="shared" si="1"/>
        <v>0</v>
      </c>
    </row>
    <row r="22" spans="1:7" x14ac:dyDescent="0.25">
      <c r="A22" s="67"/>
      <c r="B22" s="5" t="s">
        <v>87</v>
      </c>
      <c r="C22" s="5" t="s">
        <v>9</v>
      </c>
      <c r="D22" s="1" t="s">
        <v>96</v>
      </c>
      <c r="E22" s="39">
        <f>68216.5+115.8+254.4</f>
        <v>68586.7</v>
      </c>
      <c r="F22" s="39">
        <v>64275.6</v>
      </c>
      <c r="G22" s="93">
        <f t="shared" si="1"/>
        <v>93.7</v>
      </c>
    </row>
    <row r="23" spans="1:7" ht="33.75" customHeight="1" x14ac:dyDescent="0.3">
      <c r="A23" s="15">
        <v>2</v>
      </c>
      <c r="B23" s="4" t="s">
        <v>92</v>
      </c>
      <c r="C23" s="3"/>
      <c r="D23" s="10" t="s">
        <v>97</v>
      </c>
      <c r="E23" s="91">
        <f>SUM(E24:E26)</f>
        <v>9642.1999999999989</v>
      </c>
      <c r="F23" s="91">
        <f t="shared" ref="F23" si="2">SUM(F24:F26)</f>
        <v>9113</v>
      </c>
      <c r="G23" s="186">
        <f t="shared" si="1"/>
        <v>94.5</v>
      </c>
    </row>
    <row r="24" spans="1:7" x14ac:dyDescent="0.25">
      <c r="A24" s="15"/>
      <c r="B24" s="5" t="s">
        <v>92</v>
      </c>
      <c r="C24" s="5" t="s">
        <v>93</v>
      </c>
      <c r="D24" s="98" t="s">
        <v>18</v>
      </c>
      <c r="E24" s="39">
        <v>1202</v>
      </c>
      <c r="F24" s="39">
        <v>1202</v>
      </c>
      <c r="G24" s="93">
        <f t="shared" si="1"/>
        <v>100</v>
      </c>
    </row>
    <row r="25" spans="1:7" ht="52.8" x14ac:dyDescent="0.25">
      <c r="A25" s="67"/>
      <c r="B25" s="5" t="s">
        <v>92</v>
      </c>
      <c r="C25" s="5" t="s">
        <v>109</v>
      </c>
      <c r="D25" s="98" t="s">
        <v>368</v>
      </c>
      <c r="E25" s="39">
        <f>8346.3+59.9</f>
        <v>8406.1999999999989</v>
      </c>
      <c r="F25" s="39">
        <v>7877</v>
      </c>
      <c r="G25" s="93">
        <f t="shared" si="1"/>
        <v>93.7</v>
      </c>
    </row>
    <row r="26" spans="1:7" ht="39.6" x14ac:dyDescent="0.25">
      <c r="A26" s="67"/>
      <c r="B26" s="5" t="s">
        <v>92</v>
      </c>
      <c r="C26" s="5" t="s">
        <v>120</v>
      </c>
      <c r="D26" s="96" t="s">
        <v>22</v>
      </c>
      <c r="E26" s="39">
        <v>34</v>
      </c>
      <c r="F26" s="39">
        <v>34</v>
      </c>
      <c r="G26" s="93">
        <f t="shared" si="1"/>
        <v>100</v>
      </c>
    </row>
    <row r="27" spans="1:7" ht="15.6" x14ac:dyDescent="0.3">
      <c r="A27" s="15">
        <v>3</v>
      </c>
      <c r="B27" s="4" t="s">
        <v>93</v>
      </c>
      <c r="C27" s="3"/>
      <c r="D27" s="10" t="s">
        <v>99</v>
      </c>
      <c r="E27" s="91">
        <f>SUM(E28:E31)</f>
        <v>196156.50000000003</v>
      </c>
      <c r="F27" s="91">
        <f>SUM(F28:F31)</f>
        <v>148781.80000000002</v>
      </c>
      <c r="G27" s="186">
        <f t="shared" si="1"/>
        <v>75.8</v>
      </c>
    </row>
    <row r="28" spans="1:7" x14ac:dyDescent="0.25">
      <c r="A28" s="67"/>
      <c r="B28" s="5" t="s">
        <v>93</v>
      </c>
      <c r="C28" s="5" t="s">
        <v>94</v>
      </c>
      <c r="D28" s="1" t="s">
        <v>102</v>
      </c>
      <c r="E28" s="39">
        <v>5021.8</v>
      </c>
      <c r="F28" s="39">
        <v>1048.8</v>
      </c>
      <c r="G28" s="93">
        <f t="shared" si="1"/>
        <v>20.9</v>
      </c>
    </row>
    <row r="29" spans="1:7" x14ac:dyDescent="0.25">
      <c r="A29" s="67"/>
      <c r="B29" s="5" t="s">
        <v>93</v>
      </c>
      <c r="C29" s="5" t="s">
        <v>100</v>
      </c>
      <c r="D29" s="1" t="s">
        <v>1</v>
      </c>
      <c r="E29" s="39">
        <v>27326.400000000001</v>
      </c>
      <c r="F29" s="39">
        <v>27155</v>
      </c>
      <c r="G29" s="93">
        <f t="shared" si="1"/>
        <v>99.4</v>
      </c>
    </row>
    <row r="30" spans="1:7" x14ac:dyDescent="0.25">
      <c r="A30" s="67"/>
      <c r="B30" s="5" t="s">
        <v>93</v>
      </c>
      <c r="C30" s="5" t="s">
        <v>98</v>
      </c>
      <c r="D30" s="1" t="s">
        <v>192</v>
      </c>
      <c r="E30">
        <f>176919.1-11822-4454.5</f>
        <v>160642.6</v>
      </c>
      <c r="F30" s="39">
        <v>117412.3</v>
      </c>
      <c r="G30" s="93">
        <f t="shared" si="1"/>
        <v>73.099999999999994</v>
      </c>
    </row>
    <row r="31" spans="1:7" ht="26.4" x14ac:dyDescent="0.25">
      <c r="A31" s="67"/>
      <c r="B31" s="5" t="s">
        <v>93</v>
      </c>
      <c r="C31" s="5" t="s">
        <v>121</v>
      </c>
      <c r="D31" s="98" t="s">
        <v>4</v>
      </c>
      <c r="E31" s="39">
        <f>3731.6-586.1+20.2</f>
        <v>3165.7</v>
      </c>
      <c r="F31" s="39">
        <v>3165.7</v>
      </c>
      <c r="G31" s="93">
        <f t="shared" si="1"/>
        <v>100</v>
      </c>
    </row>
    <row r="32" spans="1:7" ht="15.6" x14ac:dyDescent="0.3">
      <c r="A32" s="15">
        <v>4</v>
      </c>
      <c r="B32" s="4" t="s">
        <v>94</v>
      </c>
      <c r="C32" s="5"/>
      <c r="D32" s="49" t="s">
        <v>48</v>
      </c>
      <c r="E32" s="91">
        <f>SUM(E33:E36)</f>
        <v>91385.400000000009</v>
      </c>
      <c r="F32" s="91">
        <f t="shared" ref="F32" si="3">SUM(F33:F36)</f>
        <v>89344.6</v>
      </c>
      <c r="G32" s="186">
        <f t="shared" si="1"/>
        <v>97.8</v>
      </c>
    </row>
    <row r="33" spans="1:7" x14ac:dyDescent="0.25">
      <c r="A33" s="15"/>
      <c r="B33" s="16" t="s">
        <v>94</v>
      </c>
      <c r="C33" s="16" t="s">
        <v>87</v>
      </c>
      <c r="D33" s="51" t="s">
        <v>43</v>
      </c>
      <c r="E33" s="41">
        <f>9265+14.4</f>
        <v>9279.4</v>
      </c>
      <c r="F33" s="39">
        <v>8737.2000000000007</v>
      </c>
      <c r="G33" s="93">
        <f t="shared" si="1"/>
        <v>94.2</v>
      </c>
    </row>
    <row r="34" spans="1:7" x14ac:dyDescent="0.25">
      <c r="A34" s="15"/>
      <c r="B34" s="16" t="s">
        <v>94</v>
      </c>
      <c r="C34" s="16" t="s">
        <v>88</v>
      </c>
      <c r="D34" s="51" t="s">
        <v>42</v>
      </c>
      <c r="E34" s="41">
        <f>28914-0.6-303.7-99.7</f>
        <v>28510</v>
      </c>
      <c r="F34" s="39">
        <v>28436.9</v>
      </c>
      <c r="G34" s="93">
        <f t="shared" si="1"/>
        <v>99.7</v>
      </c>
    </row>
    <row r="35" spans="1:7" x14ac:dyDescent="0.25">
      <c r="A35" s="67"/>
      <c r="B35" s="16" t="s">
        <v>94</v>
      </c>
      <c r="C35" s="16" t="s">
        <v>92</v>
      </c>
      <c r="D35" s="51" t="s">
        <v>49</v>
      </c>
      <c r="E35" s="41">
        <f>52111.9-80</f>
        <v>52031.9</v>
      </c>
      <c r="F35" s="146">
        <v>50608.4</v>
      </c>
      <c r="G35" s="93">
        <f t="shared" si="1"/>
        <v>97.3</v>
      </c>
    </row>
    <row r="36" spans="1:7" ht="27" customHeight="1" x14ac:dyDescent="0.25">
      <c r="A36" s="67"/>
      <c r="B36" s="16" t="s">
        <v>94</v>
      </c>
      <c r="C36" s="82" t="s">
        <v>94</v>
      </c>
      <c r="D36" s="96" t="s">
        <v>471</v>
      </c>
      <c r="E36" s="41">
        <f>1180.9+303.7+79.5</f>
        <v>1564.1000000000001</v>
      </c>
      <c r="F36" s="41">
        <v>1562.1</v>
      </c>
      <c r="G36" s="93">
        <f t="shared" si="1"/>
        <v>99.9</v>
      </c>
    </row>
    <row r="37" spans="1:7" ht="15.6" x14ac:dyDescent="0.3">
      <c r="A37" s="15">
        <v>5</v>
      </c>
      <c r="B37" s="4" t="s">
        <v>103</v>
      </c>
      <c r="C37" s="3"/>
      <c r="D37" s="10" t="s">
        <v>104</v>
      </c>
      <c r="E37" s="91">
        <f>SUM(E38:E43)</f>
        <v>658926.69999999995</v>
      </c>
      <c r="F37" s="91">
        <f t="shared" ref="F37" si="4">SUM(F38:F43)</f>
        <v>658164.4</v>
      </c>
      <c r="G37" s="186">
        <f t="shared" si="1"/>
        <v>99.9</v>
      </c>
    </row>
    <row r="38" spans="1:7" x14ac:dyDescent="0.25">
      <c r="A38" s="67"/>
      <c r="B38" s="5" t="s">
        <v>103</v>
      </c>
      <c r="C38" s="5" t="s">
        <v>87</v>
      </c>
      <c r="D38" s="1" t="s">
        <v>106</v>
      </c>
      <c r="E38" s="39">
        <v>166549.4</v>
      </c>
      <c r="F38" s="39">
        <v>166504.5</v>
      </c>
      <c r="G38" s="93">
        <f t="shared" si="1"/>
        <v>100</v>
      </c>
    </row>
    <row r="39" spans="1:7" x14ac:dyDescent="0.25">
      <c r="A39" s="67"/>
      <c r="B39" s="5" t="s">
        <v>103</v>
      </c>
      <c r="C39" s="5" t="s">
        <v>88</v>
      </c>
      <c r="D39" s="1" t="s">
        <v>107</v>
      </c>
      <c r="E39" s="39">
        <v>401662.8</v>
      </c>
      <c r="F39" s="39">
        <v>401632.7</v>
      </c>
      <c r="G39" s="93">
        <f t="shared" si="1"/>
        <v>100</v>
      </c>
    </row>
    <row r="40" spans="1:7" x14ac:dyDescent="0.25">
      <c r="A40" s="67"/>
      <c r="B40" s="5" t="s">
        <v>103</v>
      </c>
      <c r="C40" s="5" t="s">
        <v>92</v>
      </c>
      <c r="D40" s="1" t="s">
        <v>151</v>
      </c>
      <c r="E40" s="39">
        <v>65710.3</v>
      </c>
      <c r="F40" s="1">
        <v>65694.399999999994</v>
      </c>
      <c r="G40" s="93">
        <f t="shared" si="1"/>
        <v>100</v>
      </c>
    </row>
    <row r="41" spans="1:7" ht="26.4" x14ac:dyDescent="0.25">
      <c r="A41" s="67"/>
      <c r="B41" s="5" t="s">
        <v>103</v>
      </c>
      <c r="C41" s="5" t="s">
        <v>94</v>
      </c>
      <c r="D41" s="98" t="s">
        <v>2</v>
      </c>
      <c r="E41" s="39">
        <f>250-40.8</f>
        <v>209.2</v>
      </c>
      <c r="F41" s="39">
        <v>193.9</v>
      </c>
      <c r="G41" s="93">
        <f t="shared" si="1"/>
        <v>92.7</v>
      </c>
    </row>
    <row r="42" spans="1:7" x14ac:dyDescent="0.25">
      <c r="A42" s="67"/>
      <c r="B42" s="5" t="s">
        <v>103</v>
      </c>
      <c r="C42" s="5" t="s">
        <v>103</v>
      </c>
      <c r="D42" s="1" t="s">
        <v>150</v>
      </c>
      <c r="E42" s="39">
        <f>10818.3-4</f>
        <v>10814.3</v>
      </c>
      <c r="F42" s="1">
        <v>10814.3</v>
      </c>
      <c r="G42" s="93">
        <f t="shared" si="1"/>
        <v>100</v>
      </c>
    </row>
    <row r="43" spans="1:7" x14ac:dyDescent="0.25">
      <c r="A43" s="67"/>
      <c r="B43" s="5" t="s">
        <v>103</v>
      </c>
      <c r="C43" s="5" t="s">
        <v>98</v>
      </c>
      <c r="D43" s="1" t="s">
        <v>108</v>
      </c>
      <c r="E43" s="39">
        <f>13205.2+306.7+120+6.8-56.1+248.5+149.6</f>
        <v>13980.7</v>
      </c>
      <c r="F43" s="39">
        <v>13324.6</v>
      </c>
      <c r="G43" s="93">
        <f t="shared" si="1"/>
        <v>95.3</v>
      </c>
    </row>
    <row r="44" spans="1:7" ht="15.6" x14ac:dyDescent="0.3">
      <c r="A44" s="15">
        <v>6</v>
      </c>
      <c r="B44" s="4" t="s">
        <v>100</v>
      </c>
      <c r="C44" s="3"/>
      <c r="D44" s="10" t="s">
        <v>20</v>
      </c>
      <c r="E44" s="91">
        <f>SUM(E45:E46)</f>
        <v>84839.4</v>
      </c>
      <c r="F44" s="91">
        <f t="shared" ref="F44" si="5">SUM(F45:F46)</f>
        <v>84680.400000000009</v>
      </c>
      <c r="G44" s="186">
        <f t="shared" si="1"/>
        <v>99.8</v>
      </c>
    </row>
    <row r="45" spans="1:7" x14ac:dyDescent="0.25">
      <c r="A45" s="67"/>
      <c r="B45" s="5" t="s">
        <v>100</v>
      </c>
      <c r="C45" s="5" t="s">
        <v>87</v>
      </c>
      <c r="D45" s="1" t="s">
        <v>105</v>
      </c>
      <c r="E45" s="39">
        <v>80536.2</v>
      </c>
      <c r="F45" s="1">
        <v>80384.3</v>
      </c>
      <c r="G45" s="93">
        <f t="shared" si="1"/>
        <v>99.8</v>
      </c>
    </row>
    <row r="46" spans="1:7" ht="26.4" x14ac:dyDescent="0.25">
      <c r="A46" s="67"/>
      <c r="B46" s="5" t="s">
        <v>100</v>
      </c>
      <c r="C46" s="5" t="s">
        <v>93</v>
      </c>
      <c r="D46" s="98" t="s">
        <v>7</v>
      </c>
      <c r="E46" s="39">
        <f>4243.3+59.9</f>
        <v>4303.2</v>
      </c>
      <c r="F46" s="39">
        <v>4296.1000000000004</v>
      </c>
      <c r="G46" s="93">
        <f t="shared" si="1"/>
        <v>99.8</v>
      </c>
    </row>
    <row r="47" spans="1:7" ht="15.6" x14ac:dyDescent="0.3">
      <c r="A47" s="15">
        <v>7</v>
      </c>
      <c r="B47" s="4" t="s">
        <v>109</v>
      </c>
      <c r="C47" s="3"/>
      <c r="D47" s="10" t="s">
        <v>110</v>
      </c>
      <c r="E47" s="91">
        <f>SUM(E48:E50)</f>
        <v>57195.600000000006</v>
      </c>
      <c r="F47" s="91">
        <f t="shared" ref="F47" si="6">SUM(F48:F50)</f>
        <v>51919.600000000006</v>
      </c>
      <c r="G47" s="186">
        <f t="shared" si="1"/>
        <v>90.8</v>
      </c>
    </row>
    <row r="48" spans="1:7" x14ac:dyDescent="0.25">
      <c r="A48" s="67"/>
      <c r="B48" s="5" t="s">
        <v>109</v>
      </c>
      <c r="C48" s="5" t="s">
        <v>87</v>
      </c>
      <c r="D48" s="1" t="s">
        <v>111</v>
      </c>
      <c r="E48" s="39">
        <f>1585.3+753</f>
        <v>2338.3000000000002</v>
      </c>
      <c r="F48" s="39">
        <v>2294.6</v>
      </c>
      <c r="G48" s="93">
        <f t="shared" si="1"/>
        <v>98.1</v>
      </c>
    </row>
    <row r="49" spans="1:7" x14ac:dyDescent="0.25">
      <c r="A49" s="67"/>
      <c r="B49" s="5" t="s">
        <v>109</v>
      </c>
      <c r="C49" s="5" t="s">
        <v>92</v>
      </c>
      <c r="D49" s="1" t="s">
        <v>115</v>
      </c>
      <c r="E49" s="39">
        <f>1840+50</f>
        <v>1890</v>
      </c>
      <c r="F49" s="39">
        <v>1707.7</v>
      </c>
      <c r="G49" s="93">
        <f t="shared" si="1"/>
        <v>90.4</v>
      </c>
    </row>
    <row r="50" spans="1:7" x14ac:dyDescent="0.25">
      <c r="A50" s="67"/>
      <c r="B50" s="5" t="s">
        <v>109</v>
      </c>
      <c r="C50" s="5" t="s">
        <v>93</v>
      </c>
      <c r="D50" s="1" t="s">
        <v>13</v>
      </c>
      <c r="E50" s="39">
        <v>52967.3</v>
      </c>
      <c r="F50" s="39">
        <v>47917.3</v>
      </c>
      <c r="G50" s="93">
        <f t="shared" si="1"/>
        <v>90.5</v>
      </c>
    </row>
    <row r="51" spans="1:7" ht="15.6" x14ac:dyDescent="0.3">
      <c r="A51" s="15">
        <v>8</v>
      </c>
      <c r="B51" s="4" t="s">
        <v>101</v>
      </c>
      <c r="C51" s="5"/>
      <c r="D51" s="10" t="s">
        <v>122</v>
      </c>
      <c r="E51" s="91">
        <f>SUM(E52:E52)</f>
        <v>5986</v>
      </c>
      <c r="F51" s="91">
        <f t="shared" ref="F51" si="7">SUM(F52:F52)</f>
        <v>5986</v>
      </c>
      <c r="G51" s="186">
        <f t="shared" si="1"/>
        <v>100</v>
      </c>
    </row>
    <row r="52" spans="1:7" x14ac:dyDescent="0.25">
      <c r="A52" s="67"/>
      <c r="B52" s="5" t="s">
        <v>101</v>
      </c>
      <c r="C52" s="5" t="s">
        <v>88</v>
      </c>
      <c r="D52" s="98" t="s">
        <v>6</v>
      </c>
      <c r="E52" s="39">
        <f>5786+200</f>
        <v>5986</v>
      </c>
      <c r="F52" s="39">
        <v>5986</v>
      </c>
      <c r="G52" s="93">
        <f t="shared" si="1"/>
        <v>100</v>
      </c>
    </row>
    <row r="53" spans="1:7" ht="15.6" x14ac:dyDescent="0.3">
      <c r="A53" s="15">
        <v>9</v>
      </c>
      <c r="B53" s="4" t="s">
        <v>121</v>
      </c>
      <c r="C53" s="5"/>
      <c r="D53" s="10" t="s">
        <v>8</v>
      </c>
      <c r="E53" s="91">
        <f>SUM(E54:E54)</f>
        <v>3836.5</v>
      </c>
      <c r="F53" s="91">
        <f t="shared" ref="F53" si="8">SUM(F54:F54)</f>
        <v>3836.5</v>
      </c>
      <c r="G53" s="186">
        <f t="shared" si="1"/>
        <v>100</v>
      </c>
    </row>
    <row r="54" spans="1:7" ht="26.4" x14ac:dyDescent="0.25">
      <c r="A54" s="67"/>
      <c r="B54" s="5" t="s">
        <v>121</v>
      </c>
      <c r="C54" s="5" t="s">
        <v>93</v>
      </c>
      <c r="D54" s="96" t="s">
        <v>14</v>
      </c>
      <c r="E54" s="39">
        <v>3836.5</v>
      </c>
      <c r="F54" s="39">
        <v>3836.5</v>
      </c>
      <c r="G54" s="93">
        <f t="shared" si="1"/>
        <v>100</v>
      </c>
    </row>
    <row r="55" spans="1:7" ht="31.2" x14ac:dyDescent="0.3">
      <c r="A55" s="15">
        <v>10</v>
      </c>
      <c r="B55" s="4" t="s">
        <v>9</v>
      </c>
      <c r="C55" s="5"/>
      <c r="D55" s="10" t="s">
        <v>590</v>
      </c>
      <c r="E55" s="91">
        <f>SUM(E56:E56)</f>
        <v>25</v>
      </c>
      <c r="F55" s="91">
        <f t="shared" ref="F55" si="9">SUM(F56:F56)</f>
        <v>25</v>
      </c>
      <c r="G55" s="186">
        <f t="shared" si="1"/>
        <v>100</v>
      </c>
    </row>
    <row r="56" spans="1:7" ht="26.4" x14ac:dyDescent="0.25">
      <c r="A56" s="67"/>
      <c r="B56" s="144">
        <v>13</v>
      </c>
      <c r="C56" s="5" t="s">
        <v>87</v>
      </c>
      <c r="D56" s="98" t="s">
        <v>591</v>
      </c>
      <c r="E56" s="39">
        <v>25</v>
      </c>
      <c r="F56" s="39">
        <v>25</v>
      </c>
      <c r="G56" s="93">
        <f t="shared" si="1"/>
        <v>100</v>
      </c>
    </row>
    <row r="58" spans="1:7" s="19" customFormat="1" x14ac:dyDescent="0.25">
      <c r="B58" s="19" t="s">
        <v>79</v>
      </c>
    </row>
  </sheetData>
  <mergeCells count="7">
    <mergeCell ref="E11:F11"/>
    <mergeCell ref="G11:G12"/>
    <mergeCell ref="A8:G8"/>
    <mergeCell ref="A11:A12"/>
    <mergeCell ref="B11:B12"/>
    <mergeCell ref="C11:C12"/>
    <mergeCell ref="D11:D12"/>
  </mergeCells>
  <phoneticPr fontId="2" type="noConversion"/>
  <pageMargins left="0.75" right="0.75" top="1" bottom="1" header="0.5" footer="0.5"/>
  <pageSetup paperSize="9" scale="98" fitToHeight="0" orientation="portrait"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7"/>
  <sheetViews>
    <sheetView zoomScaleNormal="100" workbookViewId="0">
      <selection activeCell="G532" sqref="G532"/>
    </sheetView>
  </sheetViews>
  <sheetFormatPr defaultColWidth="9.109375" defaultRowHeight="13.2" x14ac:dyDescent="0.25"/>
  <cols>
    <col min="1" max="1" width="2.5546875" customWidth="1"/>
    <col min="2" max="2" width="2.44140625" customWidth="1"/>
    <col min="3" max="3" width="11.5546875" customWidth="1"/>
    <col min="4" max="4" width="3.33203125" customWidth="1"/>
    <col min="5" max="5" width="35.33203125" customWidth="1"/>
    <col min="6" max="6" width="11.33203125" customWidth="1"/>
    <col min="7" max="7" width="11.109375" customWidth="1"/>
    <col min="8" max="8" width="8.109375" customWidth="1"/>
    <col min="10" max="10" width="14.44140625" customWidth="1"/>
    <col min="11" max="11" width="10.109375" bestFit="1" customWidth="1"/>
  </cols>
  <sheetData>
    <row r="1" spans="1:8" x14ac:dyDescent="0.25">
      <c r="E1" s="184" t="s">
        <v>727</v>
      </c>
    </row>
    <row r="2" spans="1:8" x14ac:dyDescent="0.25">
      <c r="E2" s="184" t="s">
        <v>366</v>
      </c>
    </row>
    <row r="3" spans="1:8" x14ac:dyDescent="0.25">
      <c r="E3" s="184" t="s">
        <v>716</v>
      </c>
    </row>
    <row r="4" spans="1:8" x14ac:dyDescent="0.25">
      <c r="E4" s="184" t="s">
        <v>717</v>
      </c>
    </row>
    <row r="5" spans="1:8" x14ac:dyDescent="0.25">
      <c r="E5" s="184" t="s">
        <v>718</v>
      </c>
    </row>
    <row r="6" spans="1:8" x14ac:dyDescent="0.25">
      <c r="E6" s="85"/>
      <c r="F6" s="85"/>
      <c r="G6" s="86"/>
      <c r="H6" s="86"/>
    </row>
    <row r="7" spans="1:8" x14ac:dyDescent="0.25">
      <c r="E7" s="85"/>
      <c r="F7" s="85"/>
      <c r="G7" s="86"/>
      <c r="H7" s="86"/>
    </row>
    <row r="8" spans="1:8" ht="63.75" customHeight="1" x14ac:dyDescent="0.25">
      <c r="A8" s="240" t="s">
        <v>726</v>
      </c>
      <c r="B8" s="254"/>
      <c r="C8" s="254"/>
      <c r="D8" s="254"/>
      <c r="E8" s="254"/>
      <c r="F8" s="254"/>
      <c r="G8" s="255"/>
      <c r="H8" s="255"/>
    </row>
    <row r="10" spans="1:8" x14ac:dyDescent="0.25">
      <c r="F10" s="6"/>
    </row>
    <row r="11" spans="1:8" x14ac:dyDescent="0.25">
      <c r="A11" s="245" t="s">
        <v>116</v>
      </c>
      <c r="B11" s="245" t="s">
        <v>117</v>
      </c>
      <c r="C11" s="245" t="s">
        <v>118</v>
      </c>
      <c r="D11" s="245" t="s">
        <v>112</v>
      </c>
      <c r="E11" s="245" t="s">
        <v>89</v>
      </c>
      <c r="F11" s="248" t="s">
        <v>28</v>
      </c>
      <c r="G11" s="249"/>
      <c r="H11" s="245" t="s">
        <v>724</v>
      </c>
    </row>
    <row r="12" spans="1:8" ht="39.6" x14ac:dyDescent="0.25">
      <c r="A12" s="246"/>
      <c r="B12" s="246"/>
      <c r="C12" s="246"/>
      <c r="D12" s="246"/>
      <c r="E12" s="246"/>
      <c r="F12" s="175" t="s">
        <v>720</v>
      </c>
      <c r="G12" s="175" t="s">
        <v>723</v>
      </c>
      <c r="H12" s="246"/>
    </row>
    <row r="13" spans="1:8" x14ac:dyDescent="0.25">
      <c r="A13" s="2">
        <v>1</v>
      </c>
      <c r="B13" s="2">
        <v>2</v>
      </c>
      <c r="C13" s="2">
        <v>3</v>
      </c>
      <c r="D13" s="2">
        <v>4</v>
      </c>
      <c r="E13" s="2">
        <v>5</v>
      </c>
      <c r="F13" s="2">
        <v>6</v>
      </c>
      <c r="G13" s="2">
        <v>7</v>
      </c>
      <c r="H13" s="2">
        <v>8</v>
      </c>
    </row>
    <row r="14" spans="1:8" ht="17.399999999999999" x14ac:dyDescent="0.3">
      <c r="A14" s="12"/>
      <c r="B14" s="12"/>
      <c r="C14" s="12"/>
      <c r="D14" s="12"/>
      <c r="E14" s="9" t="s">
        <v>91</v>
      </c>
      <c r="F14" s="59">
        <f>F15+F100+F140+F234+F355+F513+F556+F593+F609+F623</f>
        <v>1249707.1000000001</v>
      </c>
      <c r="G14" s="59">
        <f>G15+G100+G140+G234+G355+G513+G556+G593+G609+G623</f>
        <v>1187853.4000000001</v>
      </c>
      <c r="H14" s="186">
        <f t="shared" ref="H14:H77" si="0">ROUND((G14/F14*100),1)</f>
        <v>95.1</v>
      </c>
    </row>
    <row r="15" spans="1:8" ht="31.2" x14ac:dyDescent="0.3">
      <c r="A15" s="4" t="s">
        <v>87</v>
      </c>
      <c r="B15" s="11"/>
      <c r="C15" s="11"/>
      <c r="D15" s="11"/>
      <c r="E15" s="10" t="s">
        <v>90</v>
      </c>
      <c r="F15" s="91">
        <f>F16+F21+F30+F43+F48+F63+F68</f>
        <v>141713.79999999999</v>
      </c>
      <c r="G15" s="91">
        <f>G16+G21+G30+G43+G48+G63+G68</f>
        <v>136002.09999999998</v>
      </c>
      <c r="H15" s="186">
        <f t="shared" si="0"/>
        <v>96</v>
      </c>
    </row>
    <row r="16" spans="1:8" ht="53.4" x14ac:dyDescent="0.3">
      <c r="A16" s="30" t="s">
        <v>87</v>
      </c>
      <c r="B16" s="30" t="s">
        <v>88</v>
      </c>
      <c r="C16" s="30"/>
      <c r="D16" s="30"/>
      <c r="E16" s="46" t="s">
        <v>17</v>
      </c>
      <c r="F16" s="40">
        <f t="shared" ref="F16:G19" si="1">F17</f>
        <v>2367.1</v>
      </c>
      <c r="G16" s="40">
        <f t="shared" si="1"/>
        <v>2336.5</v>
      </c>
      <c r="H16" s="42">
        <f t="shared" si="0"/>
        <v>98.7</v>
      </c>
    </row>
    <row r="17" spans="1:8" ht="26.4" x14ac:dyDescent="0.25">
      <c r="A17" s="16" t="s">
        <v>87</v>
      </c>
      <c r="B17" s="16" t="s">
        <v>88</v>
      </c>
      <c r="C17" s="79">
        <v>9900000000</v>
      </c>
      <c r="D17" s="16"/>
      <c r="E17" s="55" t="s">
        <v>139</v>
      </c>
      <c r="F17" s="41">
        <f t="shared" si="1"/>
        <v>2367.1</v>
      </c>
      <c r="G17" s="41">
        <f t="shared" si="1"/>
        <v>2336.5</v>
      </c>
      <c r="H17" s="93">
        <f t="shared" si="0"/>
        <v>98.7</v>
      </c>
    </row>
    <row r="18" spans="1:8" ht="39.6" x14ac:dyDescent="0.25">
      <c r="A18" s="16" t="s">
        <v>87</v>
      </c>
      <c r="B18" s="16" t="s">
        <v>88</v>
      </c>
      <c r="C18" s="79">
        <v>9980000000</v>
      </c>
      <c r="D18" s="16"/>
      <c r="E18" s="54" t="s">
        <v>30</v>
      </c>
      <c r="F18" s="41">
        <f t="shared" si="1"/>
        <v>2367.1</v>
      </c>
      <c r="G18" s="41">
        <f t="shared" si="1"/>
        <v>2336.5</v>
      </c>
      <c r="H18" s="93">
        <f t="shared" si="0"/>
        <v>98.7</v>
      </c>
    </row>
    <row r="19" spans="1:8" x14ac:dyDescent="0.25">
      <c r="A19" s="16" t="s">
        <v>87</v>
      </c>
      <c r="B19" s="16" t="s">
        <v>88</v>
      </c>
      <c r="C19" s="79">
        <v>9980022100</v>
      </c>
      <c r="D19" s="16"/>
      <c r="E19" s="98" t="s">
        <v>113</v>
      </c>
      <c r="F19" s="39">
        <f t="shared" si="1"/>
        <v>2367.1</v>
      </c>
      <c r="G19" s="39">
        <f t="shared" si="1"/>
        <v>2336.5</v>
      </c>
      <c r="H19" s="93">
        <f t="shared" si="0"/>
        <v>98.7</v>
      </c>
    </row>
    <row r="20" spans="1:8" ht="39.6" x14ac:dyDescent="0.25">
      <c r="A20" s="16" t="s">
        <v>87</v>
      </c>
      <c r="B20" s="16" t="s">
        <v>88</v>
      </c>
      <c r="C20" s="79">
        <v>9980022100</v>
      </c>
      <c r="D20" s="16" t="s">
        <v>63</v>
      </c>
      <c r="E20" s="98" t="s">
        <v>78</v>
      </c>
      <c r="F20" s="39">
        <f>1717-118.6+439.5+171.7+157.5-439.5-171.7+171.7+439.5</f>
        <v>2367.1</v>
      </c>
      <c r="G20" s="39">
        <v>2336.5</v>
      </c>
      <c r="H20" s="93">
        <f t="shared" si="0"/>
        <v>98.7</v>
      </c>
    </row>
    <row r="21" spans="1:8" ht="66.599999999999994" x14ac:dyDescent="0.3">
      <c r="A21" s="30" t="s">
        <v>87</v>
      </c>
      <c r="B21" s="30" t="s">
        <v>92</v>
      </c>
      <c r="C21" s="31"/>
      <c r="D21" s="31"/>
      <c r="E21" s="48" t="s">
        <v>126</v>
      </c>
      <c r="F21" s="43">
        <f>F22</f>
        <v>4185.5</v>
      </c>
      <c r="G21" s="213">
        <f>G22</f>
        <v>4087.4</v>
      </c>
      <c r="H21" s="42">
        <f t="shared" si="0"/>
        <v>97.7</v>
      </c>
    </row>
    <row r="22" spans="1:8" ht="39.6" x14ac:dyDescent="0.25">
      <c r="A22" s="16" t="s">
        <v>87</v>
      </c>
      <c r="B22" s="16" t="s">
        <v>92</v>
      </c>
      <c r="C22" s="79">
        <v>9990000000</v>
      </c>
      <c r="D22" s="16"/>
      <c r="E22" s="54" t="s">
        <v>29</v>
      </c>
      <c r="F22" s="41">
        <f>F23+F25+F28</f>
        <v>4185.5</v>
      </c>
      <c r="G22" s="41">
        <f>G23+G25+G28</f>
        <v>4087.4</v>
      </c>
      <c r="H22" s="93">
        <f t="shared" si="0"/>
        <v>97.7</v>
      </c>
    </row>
    <row r="23" spans="1:8" x14ac:dyDescent="0.25">
      <c r="A23" s="16" t="s">
        <v>87</v>
      </c>
      <c r="B23" s="16" t="s">
        <v>92</v>
      </c>
      <c r="C23" s="79">
        <v>9990022400</v>
      </c>
      <c r="D23" s="16"/>
      <c r="E23" s="97" t="s">
        <v>136</v>
      </c>
      <c r="F23" s="41">
        <f>F24</f>
        <v>1522.8</v>
      </c>
      <c r="G23" s="41">
        <f>G24</f>
        <v>1499.2</v>
      </c>
      <c r="H23" s="93">
        <f t="shared" si="0"/>
        <v>98.5</v>
      </c>
    </row>
    <row r="24" spans="1:8" ht="39.6" x14ac:dyDescent="0.25">
      <c r="A24" s="16" t="s">
        <v>87</v>
      </c>
      <c r="B24" s="16" t="s">
        <v>92</v>
      </c>
      <c r="C24" s="79">
        <v>9990022400</v>
      </c>
      <c r="D24" s="16" t="s">
        <v>63</v>
      </c>
      <c r="E24" s="55" t="s">
        <v>64</v>
      </c>
      <c r="F24" s="39">
        <f>1365.9+136.6+20.3-156.9+156.9</f>
        <v>1522.8</v>
      </c>
      <c r="G24" s="39">
        <v>1499.2</v>
      </c>
      <c r="H24" s="93">
        <f t="shared" si="0"/>
        <v>98.5</v>
      </c>
    </row>
    <row r="25" spans="1:8" ht="23.25" customHeight="1" x14ac:dyDescent="0.25">
      <c r="A25" s="16" t="s">
        <v>87</v>
      </c>
      <c r="B25" s="16" t="s">
        <v>92</v>
      </c>
      <c r="C25" s="79">
        <v>9990022500</v>
      </c>
      <c r="D25" s="21"/>
      <c r="E25" s="98" t="s">
        <v>576</v>
      </c>
      <c r="F25" s="41">
        <f>SUM(F26:F27)</f>
        <v>2617.8000000000002</v>
      </c>
      <c r="G25" s="41">
        <f>SUM(G26:G27)</f>
        <v>2543.2999999999997</v>
      </c>
      <c r="H25" s="93">
        <f t="shared" si="0"/>
        <v>97.2</v>
      </c>
    </row>
    <row r="26" spans="1:8" ht="39.6" x14ac:dyDescent="0.25">
      <c r="A26" s="16" t="s">
        <v>87</v>
      </c>
      <c r="B26" s="16" t="s">
        <v>92</v>
      </c>
      <c r="C26" s="79">
        <v>9990022500</v>
      </c>
      <c r="D26" s="16" t="s">
        <v>63</v>
      </c>
      <c r="E26" s="55" t="s">
        <v>64</v>
      </c>
      <c r="F26" s="39">
        <f>2356.8+154.9</f>
        <v>2511.7000000000003</v>
      </c>
      <c r="G26" s="39">
        <v>2449.1999999999998</v>
      </c>
      <c r="H26" s="93">
        <f t="shared" si="0"/>
        <v>97.5</v>
      </c>
    </row>
    <row r="27" spans="1:8" ht="39.6" x14ac:dyDescent="0.25">
      <c r="A27" s="16" t="s">
        <v>87</v>
      </c>
      <c r="B27" s="16" t="s">
        <v>92</v>
      </c>
      <c r="C27" s="79">
        <v>9990022500</v>
      </c>
      <c r="D27" s="82" t="s">
        <v>205</v>
      </c>
      <c r="E27" s="97" t="s">
        <v>206</v>
      </c>
      <c r="F27" s="39">
        <v>106.1</v>
      </c>
      <c r="G27" s="39">
        <v>94.1</v>
      </c>
      <c r="H27" s="93">
        <f t="shared" si="0"/>
        <v>88.7</v>
      </c>
    </row>
    <row r="28" spans="1:8" s="174" customFormat="1" ht="79.2" x14ac:dyDescent="0.25">
      <c r="A28" s="16" t="s">
        <v>87</v>
      </c>
      <c r="B28" s="16" t="s">
        <v>92</v>
      </c>
      <c r="C28" s="173">
        <v>9990055492</v>
      </c>
      <c r="D28" s="82"/>
      <c r="E28" s="172" t="s">
        <v>714</v>
      </c>
      <c r="F28" s="41">
        <f>F29</f>
        <v>44.9</v>
      </c>
      <c r="G28" s="41">
        <f t="shared" ref="G28" si="2">G29</f>
        <v>44.9</v>
      </c>
      <c r="H28" s="93">
        <f t="shared" si="0"/>
        <v>100</v>
      </c>
    </row>
    <row r="29" spans="1:8" s="174" customFormat="1" ht="39.6" x14ac:dyDescent="0.25">
      <c r="A29" s="16" t="s">
        <v>87</v>
      </c>
      <c r="B29" s="16" t="s">
        <v>92</v>
      </c>
      <c r="C29" s="173">
        <v>9990055492</v>
      </c>
      <c r="D29" s="16" t="s">
        <v>63</v>
      </c>
      <c r="E29" s="172" t="s">
        <v>78</v>
      </c>
      <c r="F29" s="41">
        <v>44.9</v>
      </c>
      <c r="G29" s="41">
        <v>44.9</v>
      </c>
      <c r="H29" s="93">
        <f t="shared" si="0"/>
        <v>100</v>
      </c>
    </row>
    <row r="30" spans="1:8" s="32" customFormat="1" ht="79.8" x14ac:dyDescent="0.3">
      <c r="A30" s="30" t="s">
        <v>87</v>
      </c>
      <c r="B30" s="30" t="s">
        <v>93</v>
      </c>
      <c r="C30" s="30"/>
      <c r="D30" s="30"/>
      <c r="E30" s="46" t="s">
        <v>123</v>
      </c>
      <c r="F30" s="40">
        <f>F31</f>
        <v>53234.19999999999</v>
      </c>
      <c r="G30" s="40">
        <f>G31</f>
        <v>52313.1</v>
      </c>
      <c r="H30" s="42">
        <f t="shared" si="0"/>
        <v>98.3</v>
      </c>
    </row>
    <row r="31" spans="1:8" ht="26.4" x14ac:dyDescent="0.25">
      <c r="A31" s="16" t="s">
        <v>87</v>
      </c>
      <c r="B31" s="16" t="s">
        <v>93</v>
      </c>
      <c r="C31" s="79">
        <v>9900000000</v>
      </c>
      <c r="D31" s="16"/>
      <c r="E31" s="55" t="s">
        <v>139</v>
      </c>
      <c r="F31" s="39">
        <f>F32+F36</f>
        <v>53234.19999999999</v>
      </c>
      <c r="G31" s="39">
        <f>G32+G36</f>
        <v>52313.1</v>
      </c>
      <c r="H31" s="93">
        <f t="shared" si="0"/>
        <v>98.3</v>
      </c>
    </row>
    <row r="32" spans="1:8" ht="26.4" x14ac:dyDescent="0.25">
      <c r="A32" s="16" t="s">
        <v>87</v>
      </c>
      <c r="B32" s="16" t="s">
        <v>93</v>
      </c>
      <c r="C32" s="79">
        <v>9930000000</v>
      </c>
      <c r="D32" s="16"/>
      <c r="E32" s="22" t="s">
        <v>41</v>
      </c>
      <c r="F32" s="39">
        <f>F33</f>
        <v>422.6</v>
      </c>
      <c r="G32" s="39">
        <f>G33</f>
        <v>412.7</v>
      </c>
      <c r="H32" s="93">
        <f t="shared" si="0"/>
        <v>97.7</v>
      </c>
    </row>
    <row r="33" spans="1:8" ht="62.25" customHeight="1" x14ac:dyDescent="0.25">
      <c r="A33" s="16" t="s">
        <v>87</v>
      </c>
      <c r="B33" s="16" t="s">
        <v>93</v>
      </c>
      <c r="C33" s="79">
        <v>9930010510</v>
      </c>
      <c r="D33" s="16"/>
      <c r="E33" s="22" t="s">
        <v>15</v>
      </c>
      <c r="F33" s="39">
        <f>F34+F35</f>
        <v>422.6</v>
      </c>
      <c r="G33" s="39">
        <f>G34+G35</f>
        <v>412.7</v>
      </c>
      <c r="H33" s="93">
        <f t="shared" si="0"/>
        <v>97.7</v>
      </c>
    </row>
    <row r="34" spans="1:8" ht="39.6" x14ac:dyDescent="0.25">
      <c r="A34" s="16" t="s">
        <v>87</v>
      </c>
      <c r="B34" s="16" t="s">
        <v>93</v>
      </c>
      <c r="C34" s="79">
        <v>9930010510</v>
      </c>
      <c r="D34" s="16" t="s">
        <v>63</v>
      </c>
      <c r="E34" s="101" t="s">
        <v>64</v>
      </c>
      <c r="F34" s="39">
        <v>397.3</v>
      </c>
      <c r="G34" s="39">
        <v>393.4</v>
      </c>
      <c r="H34" s="93">
        <f t="shared" si="0"/>
        <v>99</v>
      </c>
    </row>
    <row r="35" spans="1:8" ht="39.6" x14ac:dyDescent="0.25">
      <c r="A35" s="16" t="s">
        <v>87</v>
      </c>
      <c r="B35" s="16" t="s">
        <v>93</v>
      </c>
      <c r="C35" s="79">
        <v>9930010510</v>
      </c>
      <c r="D35" s="82" t="s">
        <v>205</v>
      </c>
      <c r="E35" s="97" t="s">
        <v>206</v>
      </c>
      <c r="F35" s="39">
        <v>25.3</v>
      </c>
      <c r="G35" s="39">
        <v>19.3</v>
      </c>
      <c r="H35" s="93">
        <f t="shared" si="0"/>
        <v>76.3</v>
      </c>
    </row>
    <row r="36" spans="1:8" ht="39.6" x14ac:dyDescent="0.25">
      <c r="A36" s="16" t="s">
        <v>87</v>
      </c>
      <c r="B36" s="16" t="s">
        <v>93</v>
      </c>
      <c r="C36" s="79">
        <v>9980000000</v>
      </c>
      <c r="D36" s="16"/>
      <c r="E36" s="54" t="s">
        <v>30</v>
      </c>
      <c r="F36" s="39">
        <f>F37+F41</f>
        <v>52811.599999999991</v>
      </c>
      <c r="G36" s="39">
        <f>G37+G41</f>
        <v>51900.4</v>
      </c>
      <c r="H36" s="93">
        <f t="shared" si="0"/>
        <v>98.3</v>
      </c>
    </row>
    <row r="37" spans="1:8" x14ac:dyDescent="0.25">
      <c r="A37" s="16" t="s">
        <v>87</v>
      </c>
      <c r="B37" s="16" t="s">
        <v>93</v>
      </c>
      <c r="C37" s="136">
        <v>9980022200</v>
      </c>
      <c r="D37" s="21"/>
      <c r="E37" s="98" t="s">
        <v>114</v>
      </c>
      <c r="F37" s="39">
        <f>SUM(F38:F40)</f>
        <v>51904.099999999991</v>
      </c>
      <c r="G37" s="39">
        <f>SUM(G38:G40)</f>
        <v>50992.9</v>
      </c>
      <c r="H37" s="93">
        <f t="shared" si="0"/>
        <v>98.2</v>
      </c>
    </row>
    <row r="38" spans="1:8" ht="39.6" x14ac:dyDescent="0.25">
      <c r="A38" s="16" t="s">
        <v>87</v>
      </c>
      <c r="B38" s="16" t="s">
        <v>93</v>
      </c>
      <c r="C38" s="136">
        <v>9980022200</v>
      </c>
      <c r="D38" s="16" t="s">
        <v>63</v>
      </c>
      <c r="E38" s="55" t="s">
        <v>64</v>
      </c>
      <c r="F38" s="39">
        <f>44902+375.4+4548.2-375.4+383-100-350-120-463.3+400</f>
        <v>49199.899999999994</v>
      </c>
      <c r="G38" s="39">
        <v>48733.3</v>
      </c>
      <c r="H38" s="93">
        <f t="shared" si="0"/>
        <v>99.1</v>
      </c>
    </row>
    <row r="39" spans="1:8" ht="39.6" x14ac:dyDescent="0.3">
      <c r="A39" s="16" t="s">
        <v>87</v>
      </c>
      <c r="B39" s="16" t="s">
        <v>93</v>
      </c>
      <c r="C39" s="136">
        <v>9980022200</v>
      </c>
      <c r="D39" s="82" t="s">
        <v>205</v>
      </c>
      <c r="E39" s="97" t="s">
        <v>206</v>
      </c>
      <c r="F39" s="39">
        <f>2929.4-90-80.4-70</f>
        <v>2689</v>
      </c>
      <c r="G39" s="39">
        <v>2259.6</v>
      </c>
      <c r="H39" s="42">
        <f t="shared" si="0"/>
        <v>84</v>
      </c>
    </row>
    <row r="40" spans="1:8" ht="26.4" x14ac:dyDescent="0.25">
      <c r="A40" s="16" t="s">
        <v>87</v>
      </c>
      <c r="B40" s="16" t="s">
        <v>93</v>
      </c>
      <c r="C40" s="136">
        <v>9980022200</v>
      </c>
      <c r="D40" s="82" t="s">
        <v>129</v>
      </c>
      <c r="E40" s="97" t="s">
        <v>130</v>
      </c>
      <c r="F40" s="41">
        <f>44.4-29.2</f>
        <v>15.2</v>
      </c>
      <c r="G40" s="41">
        <v>0</v>
      </c>
      <c r="H40" s="93">
        <f t="shared" si="0"/>
        <v>0</v>
      </c>
    </row>
    <row r="41" spans="1:8" s="168" customFormat="1" ht="78" customHeight="1" x14ac:dyDescent="0.25">
      <c r="A41" s="16" t="s">
        <v>87</v>
      </c>
      <c r="B41" s="16" t="s">
        <v>93</v>
      </c>
      <c r="C41" s="167">
        <v>9980055492</v>
      </c>
      <c r="D41" s="82"/>
      <c r="E41" s="166" t="s">
        <v>714</v>
      </c>
      <c r="F41" s="41">
        <f>F42</f>
        <v>907.5</v>
      </c>
      <c r="G41" s="41">
        <f>G42</f>
        <v>907.5</v>
      </c>
      <c r="H41" s="93">
        <f t="shared" si="0"/>
        <v>100</v>
      </c>
    </row>
    <row r="42" spans="1:8" s="168" customFormat="1" ht="39.75" customHeight="1" x14ac:dyDescent="0.25">
      <c r="A42" s="16" t="s">
        <v>87</v>
      </c>
      <c r="B42" s="16" t="s">
        <v>93</v>
      </c>
      <c r="C42" s="167">
        <v>9980055492</v>
      </c>
      <c r="D42" s="16" t="s">
        <v>63</v>
      </c>
      <c r="E42" s="166" t="s">
        <v>78</v>
      </c>
      <c r="F42" s="41">
        <v>907.5</v>
      </c>
      <c r="G42" s="41">
        <v>907.5</v>
      </c>
      <c r="H42" s="93">
        <f>ROUND((G42/F42*100),1)</f>
        <v>100</v>
      </c>
    </row>
    <row r="43" spans="1:8" ht="14.4" x14ac:dyDescent="0.3">
      <c r="A43" s="35" t="s">
        <v>87</v>
      </c>
      <c r="B43" s="35" t="s">
        <v>94</v>
      </c>
      <c r="C43" s="35"/>
      <c r="D43" s="35"/>
      <c r="E43" s="46" t="s">
        <v>282</v>
      </c>
      <c r="F43" s="42">
        <f>SUM(F44)</f>
        <v>2.1</v>
      </c>
      <c r="G43" s="42">
        <f>SUM(G44)</f>
        <v>2.1</v>
      </c>
      <c r="H43" s="42">
        <f t="shared" si="0"/>
        <v>100</v>
      </c>
    </row>
    <row r="44" spans="1:8" ht="26.4" x14ac:dyDescent="0.3">
      <c r="A44" s="16" t="s">
        <v>87</v>
      </c>
      <c r="B44" s="82" t="s">
        <v>94</v>
      </c>
      <c r="C44" s="79">
        <v>9900000000</v>
      </c>
      <c r="D44" s="16"/>
      <c r="E44" s="55" t="s">
        <v>140</v>
      </c>
      <c r="F44" s="39">
        <f t="shared" ref="F44:G46" si="3">F45</f>
        <v>2.1</v>
      </c>
      <c r="G44" s="39">
        <f t="shared" si="3"/>
        <v>2.1</v>
      </c>
      <c r="H44" s="42">
        <f t="shared" si="0"/>
        <v>100</v>
      </c>
    </row>
    <row r="45" spans="1:8" ht="26.4" x14ac:dyDescent="0.25">
      <c r="A45" s="16" t="s">
        <v>87</v>
      </c>
      <c r="B45" s="82" t="s">
        <v>94</v>
      </c>
      <c r="C45" s="79">
        <v>9930000000</v>
      </c>
      <c r="D45" s="16"/>
      <c r="E45" s="22" t="s">
        <v>41</v>
      </c>
      <c r="F45" s="39">
        <f t="shared" si="3"/>
        <v>2.1</v>
      </c>
      <c r="G45" s="39">
        <f t="shared" si="3"/>
        <v>2.1</v>
      </c>
      <c r="H45" s="93">
        <f t="shared" si="0"/>
        <v>100</v>
      </c>
    </row>
    <row r="46" spans="1:8" ht="66" x14ac:dyDescent="0.25">
      <c r="A46" s="16" t="s">
        <v>87</v>
      </c>
      <c r="B46" s="82" t="s">
        <v>94</v>
      </c>
      <c r="C46" s="79">
        <v>9930051200</v>
      </c>
      <c r="D46" s="16"/>
      <c r="E46" s="54" t="s">
        <v>275</v>
      </c>
      <c r="F46" s="106">
        <f t="shared" si="3"/>
        <v>2.1</v>
      </c>
      <c r="G46" s="39">
        <f t="shared" si="3"/>
        <v>2.1</v>
      </c>
      <c r="H46" s="93">
        <f t="shared" si="0"/>
        <v>100</v>
      </c>
    </row>
    <row r="47" spans="1:8" ht="39.6" x14ac:dyDescent="0.25">
      <c r="A47" s="16" t="s">
        <v>87</v>
      </c>
      <c r="B47" s="82" t="s">
        <v>94</v>
      </c>
      <c r="C47" s="79">
        <v>9930051200</v>
      </c>
      <c r="D47" s="82" t="s">
        <v>205</v>
      </c>
      <c r="E47" s="97" t="s">
        <v>206</v>
      </c>
      <c r="F47" s="106">
        <v>2.1</v>
      </c>
      <c r="G47" s="106">
        <v>2.1</v>
      </c>
      <c r="H47" s="93">
        <f t="shared" si="0"/>
        <v>100</v>
      </c>
    </row>
    <row r="48" spans="1:8" s="37" customFormat="1" ht="66.599999999999994" x14ac:dyDescent="0.3">
      <c r="A48" s="35" t="s">
        <v>87</v>
      </c>
      <c r="B48" s="35" t="s">
        <v>95</v>
      </c>
      <c r="C48" s="35"/>
      <c r="D48" s="35"/>
      <c r="E48" s="46" t="s">
        <v>124</v>
      </c>
      <c r="F48" s="42">
        <f>SUM(F49)</f>
        <v>13088.2</v>
      </c>
      <c r="G48" s="42">
        <f>SUM(G49)</f>
        <v>12987.4</v>
      </c>
      <c r="H48" s="42">
        <f t="shared" si="0"/>
        <v>99.2</v>
      </c>
    </row>
    <row r="49" spans="1:8" ht="26.4" x14ac:dyDescent="0.25">
      <c r="A49" s="16" t="s">
        <v>87</v>
      </c>
      <c r="B49" s="16" t="s">
        <v>95</v>
      </c>
      <c r="C49" s="79">
        <v>9900000000</v>
      </c>
      <c r="D49" s="16"/>
      <c r="E49" s="55" t="s">
        <v>139</v>
      </c>
      <c r="F49" s="39">
        <f>F50+F57</f>
        <v>13088.2</v>
      </c>
      <c r="G49" s="39">
        <f>G50+G57</f>
        <v>12987.4</v>
      </c>
      <c r="H49" s="93">
        <f t="shared" si="0"/>
        <v>99.2</v>
      </c>
    </row>
    <row r="50" spans="1:8" ht="39.6" x14ac:dyDescent="0.25">
      <c r="A50" s="16" t="s">
        <v>87</v>
      </c>
      <c r="B50" s="16" t="s">
        <v>95</v>
      </c>
      <c r="C50" s="79">
        <v>9980000000</v>
      </c>
      <c r="D50" s="16"/>
      <c r="E50" s="54" t="s">
        <v>30</v>
      </c>
      <c r="F50" s="39">
        <f>F51+F55</f>
        <v>11217.9</v>
      </c>
      <c r="G50" s="39">
        <f t="shared" ref="G50" si="4">G51+G55</f>
        <v>11217.4</v>
      </c>
      <c r="H50" s="93">
        <f t="shared" si="0"/>
        <v>100</v>
      </c>
    </row>
    <row r="51" spans="1:8" x14ac:dyDescent="0.25">
      <c r="A51" s="16" t="s">
        <v>87</v>
      </c>
      <c r="B51" s="16" t="s">
        <v>95</v>
      </c>
      <c r="C51" s="136">
        <v>9980022200</v>
      </c>
      <c r="D51" s="21"/>
      <c r="E51" s="98" t="s">
        <v>114</v>
      </c>
      <c r="F51" s="39">
        <f>SUM(F52:F54)</f>
        <v>11008.4</v>
      </c>
      <c r="G51" s="39">
        <f t="shared" ref="G51" si="5">SUM(G52:G54)</f>
        <v>11007.9</v>
      </c>
      <c r="H51" s="93">
        <f t="shared" si="0"/>
        <v>100</v>
      </c>
    </row>
    <row r="52" spans="1:8" ht="39.6" x14ac:dyDescent="0.25">
      <c r="A52" s="16" t="s">
        <v>87</v>
      </c>
      <c r="B52" s="16" t="s">
        <v>95</v>
      </c>
      <c r="C52" s="136">
        <v>9980022200</v>
      </c>
      <c r="D52" s="16" t="s">
        <v>63</v>
      </c>
      <c r="E52" s="101" t="s">
        <v>64</v>
      </c>
      <c r="F52" s="39">
        <f>9404.1+64.1+940.4-64.1+56.5+48.6+99+81+39.5</f>
        <v>10669.1</v>
      </c>
      <c r="G52" s="39">
        <f>9404.1+64.1+940.4-64.1+56.5+48.6+99+81+39.5</f>
        <v>10669.1</v>
      </c>
      <c r="H52" s="93">
        <f t="shared" si="0"/>
        <v>100</v>
      </c>
    </row>
    <row r="53" spans="1:8" ht="39.6" x14ac:dyDescent="0.25">
      <c r="A53" s="16" t="s">
        <v>87</v>
      </c>
      <c r="B53" s="16" t="s">
        <v>95</v>
      </c>
      <c r="C53" s="136">
        <v>9980022200</v>
      </c>
      <c r="D53" s="82" t="s">
        <v>205</v>
      </c>
      <c r="E53" s="97" t="s">
        <v>206</v>
      </c>
      <c r="F53" s="39">
        <f>468.9-3-48.6-81</f>
        <v>336.29999999999995</v>
      </c>
      <c r="G53" s="39">
        <v>335.8</v>
      </c>
      <c r="H53" s="93">
        <f t="shared" si="0"/>
        <v>99.9</v>
      </c>
    </row>
    <row r="54" spans="1:8" x14ac:dyDescent="0.25">
      <c r="A54" s="16" t="s">
        <v>87</v>
      </c>
      <c r="B54" s="16" t="s">
        <v>95</v>
      </c>
      <c r="C54" s="136">
        <v>9980022200</v>
      </c>
      <c r="D54" s="82" t="s">
        <v>652</v>
      </c>
      <c r="E54" s="97" t="s">
        <v>653</v>
      </c>
      <c r="F54" s="39">
        <v>3</v>
      </c>
      <c r="G54" s="39">
        <v>3</v>
      </c>
      <c r="H54" s="93">
        <f t="shared" si="0"/>
        <v>100</v>
      </c>
    </row>
    <row r="55" spans="1:8" s="171" customFormat="1" ht="79.2" x14ac:dyDescent="0.25">
      <c r="A55" s="16" t="s">
        <v>87</v>
      </c>
      <c r="B55" s="16" t="s">
        <v>95</v>
      </c>
      <c r="C55" s="170">
        <v>9980055492</v>
      </c>
      <c r="D55" s="82"/>
      <c r="E55" s="169" t="s">
        <v>714</v>
      </c>
      <c r="F55" s="41">
        <f>F56</f>
        <v>209.5</v>
      </c>
      <c r="G55" s="41">
        <f t="shared" ref="G55" si="6">G56</f>
        <v>209.5</v>
      </c>
      <c r="H55" s="93">
        <f t="shared" si="0"/>
        <v>100</v>
      </c>
    </row>
    <row r="56" spans="1:8" s="171" customFormat="1" ht="39.6" x14ac:dyDescent="0.25">
      <c r="A56" s="16" t="s">
        <v>87</v>
      </c>
      <c r="B56" s="16" t="s">
        <v>95</v>
      </c>
      <c r="C56" s="170">
        <v>9980055492</v>
      </c>
      <c r="D56" s="16" t="s">
        <v>63</v>
      </c>
      <c r="E56" s="169" t="s">
        <v>78</v>
      </c>
      <c r="F56" s="41">
        <v>209.5</v>
      </c>
      <c r="G56" s="41">
        <v>209.5</v>
      </c>
      <c r="H56" s="93">
        <f t="shared" si="0"/>
        <v>100</v>
      </c>
    </row>
    <row r="57" spans="1:8" ht="39.6" x14ac:dyDescent="0.25">
      <c r="A57" s="16" t="s">
        <v>87</v>
      </c>
      <c r="B57" s="16" t="s">
        <v>95</v>
      </c>
      <c r="C57" s="79">
        <v>9990000000</v>
      </c>
      <c r="D57" s="16"/>
      <c r="E57" s="54" t="s">
        <v>29</v>
      </c>
      <c r="F57" s="39">
        <f>F58+F61</f>
        <v>1870.3000000000002</v>
      </c>
      <c r="G57" s="39">
        <f t="shared" ref="G57" si="7">G58+G61</f>
        <v>1770</v>
      </c>
      <c r="H57" s="93">
        <f t="shared" si="0"/>
        <v>94.6</v>
      </c>
    </row>
    <row r="58" spans="1:8" ht="26.4" x14ac:dyDescent="0.25">
      <c r="A58" s="16" t="s">
        <v>87</v>
      </c>
      <c r="B58" s="16" t="s">
        <v>95</v>
      </c>
      <c r="C58" s="79">
        <v>9990022300</v>
      </c>
      <c r="D58" s="21"/>
      <c r="E58" s="98" t="s">
        <v>194</v>
      </c>
      <c r="F58" s="41">
        <f>F59+F60</f>
        <v>1840.4</v>
      </c>
      <c r="G58" s="41">
        <f>G59+G60</f>
        <v>1740.1</v>
      </c>
      <c r="H58" s="93">
        <f t="shared" si="0"/>
        <v>94.6</v>
      </c>
    </row>
    <row r="59" spans="1:8" ht="39.6" x14ac:dyDescent="0.25">
      <c r="A59" s="16" t="s">
        <v>87</v>
      </c>
      <c r="B59" s="16" t="s">
        <v>95</v>
      </c>
      <c r="C59" s="79">
        <v>9990022300</v>
      </c>
      <c r="D59" s="16" t="s">
        <v>63</v>
      </c>
      <c r="E59" s="98" t="s">
        <v>78</v>
      </c>
      <c r="F59" s="39">
        <f>1668.4+164.2+16.3-109.5+109.5-12-17.8</f>
        <v>1819.1000000000001</v>
      </c>
      <c r="G59" s="39">
        <v>1718.8</v>
      </c>
      <c r="H59" s="93">
        <f t="shared" si="0"/>
        <v>94.5</v>
      </c>
    </row>
    <row r="60" spans="1:8" ht="39.6" x14ac:dyDescent="0.25">
      <c r="A60" s="16" t="s">
        <v>87</v>
      </c>
      <c r="B60" s="16" t="s">
        <v>95</v>
      </c>
      <c r="C60" s="79">
        <v>9990022300</v>
      </c>
      <c r="D60" s="82" t="s">
        <v>205</v>
      </c>
      <c r="E60" s="97" t="s">
        <v>206</v>
      </c>
      <c r="F60" s="39">
        <f>3.5+17.8</f>
        <v>21.3</v>
      </c>
      <c r="G60" s="39">
        <v>21.3</v>
      </c>
      <c r="H60" s="93">
        <f t="shared" si="0"/>
        <v>100</v>
      </c>
    </row>
    <row r="61" spans="1:8" s="174" customFormat="1" ht="79.2" x14ac:dyDescent="0.25">
      <c r="A61" s="16" t="s">
        <v>87</v>
      </c>
      <c r="B61" s="16" t="s">
        <v>95</v>
      </c>
      <c r="C61" s="173">
        <v>9990055492</v>
      </c>
      <c r="D61" s="82"/>
      <c r="E61" s="172" t="s">
        <v>714</v>
      </c>
      <c r="F61" s="41">
        <f>F62</f>
        <v>29.9</v>
      </c>
      <c r="G61" s="41">
        <f t="shared" ref="G61" si="8">G62</f>
        <v>29.9</v>
      </c>
      <c r="H61" s="93">
        <f t="shared" si="0"/>
        <v>100</v>
      </c>
    </row>
    <row r="62" spans="1:8" s="174" customFormat="1" ht="39.6" x14ac:dyDescent="0.25">
      <c r="A62" s="16" t="s">
        <v>87</v>
      </c>
      <c r="B62" s="16" t="s">
        <v>95</v>
      </c>
      <c r="C62" s="173">
        <v>9990055492</v>
      </c>
      <c r="D62" s="16" t="s">
        <v>63</v>
      </c>
      <c r="E62" s="172" t="s">
        <v>78</v>
      </c>
      <c r="F62" s="41">
        <v>29.9</v>
      </c>
      <c r="G62" s="41">
        <v>29.9</v>
      </c>
      <c r="H62" s="93">
        <f t="shared" si="0"/>
        <v>100</v>
      </c>
    </row>
    <row r="63" spans="1:8" ht="14.4" x14ac:dyDescent="0.3">
      <c r="A63" s="35" t="s">
        <v>87</v>
      </c>
      <c r="B63" s="35" t="s">
        <v>101</v>
      </c>
      <c r="C63" s="35"/>
      <c r="D63" s="35"/>
      <c r="E63" s="27" t="s">
        <v>5</v>
      </c>
      <c r="F63" s="42">
        <f t="shared" ref="F63:G66" si="9">F64</f>
        <v>250</v>
      </c>
      <c r="G63" s="42">
        <f t="shared" si="9"/>
        <v>0</v>
      </c>
      <c r="H63" s="42">
        <f t="shared" si="0"/>
        <v>0</v>
      </c>
    </row>
    <row r="64" spans="1:8" ht="26.4" x14ac:dyDescent="0.25">
      <c r="A64" s="16" t="s">
        <v>87</v>
      </c>
      <c r="B64" s="16" t="s">
        <v>101</v>
      </c>
      <c r="C64" s="79">
        <v>9900000000</v>
      </c>
      <c r="D64" s="16"/>
      <c r="E64" s="55" t="s">
        <v>139</v>
      </c>
      <c r="F64" s="93">
        <f t="shared" si="9"/>
        <v>250</v>
      </c>
      <c r="G64" s="93">
        <f t="shared" si="9"/>
        <v>0</v>
      </c>
      <c r="H64" s="93">
        <f t="shared" si="0"/>
        <v>0</v>
      </c>
    </row>
    <row r="65" spans="1:8" ht="14.4" x14ac:dyDescent="0.3">
      <c r="A65" s="16" t="s">
        <v>87</v>
      </c>
      <c r="B65" s="16" t="s">
        <v>101</v>
      </c>
      <c r="C65" s="79">
        <v>9920000000</v>
      </c>
      <c r="D65" s="35"/>
      <c r="E65" s="124" t="s">
        <v>5</v>
      </c>
      <c r="F65" s="93">
        <f t="shared" si="9"/>
        <v>250</v>
      </c>
      <c r="G65" s="93">
        <f t="shared" si="9"/>
        <v>0</v>
      </c>
      <c r="H65" s="93">
        <f t="shared" si="0"/>
        <v>0</v>
      </c>
    </row>
    <row r="66" spans="1:8" ht="26.4" x14ac:dyDescent="0.25">
      <c r="A66" s="16" t="s">
        <v>87</v>
      </c>
      <c r="B66" s="16" t="s">
        <v>101</v>
      </c>
      <c r="C66" s="79">
        <v>9920026100</v>
      </c>
      <c r="D66" s="21"/>
      <c r="E66" s="98" t="s">
        <v>11</v>
      </c>
      <c r="F66" s="39">
        <f t="shared" si="9"/>
        <v>250</v>
      </c>
      <c r="G66" s="39">
        <f t="shared" si="9"/>
        <v>0</v>
      </c>
      <c r="H66" s="93">
        <f t="shared" si="0"/>
        <v>0</v>
      </c>
    </row>
    <row r="67" spans="1:8" x14ac:dyDescent="0.25">
      <c r="A67" s="16" t="s">
        <v>87</v>
      </c>
      <c r="B67" s="16" t="s">
        <v>101</v>
      </c>
      <c r="C67" s="79">
        <v>9920026100</v>
      </c>
      <c r="D67" s="16" t="s">
        <v>84</v>
      </c>
      <c r="E67" s="97" t="s">
        <v>85</v>
      </c>
      <c r="F67" s="39">
        <f>500+100-50-300</f>
        <v>250</v>
      </c>
      <c r="G67" s="39">
        <v>0</v>
      </c>
      <c r="H67" s="93">
        <f t="shared" si="0"/>
        <v>0</v>
      </c>
    </row>
    <row r="68" spans="1:8" s="32" customFormat="1" ht="14.4" x14ac:dyDescent="0.3">
      <c r="A68" s="30" t="s">
        <v>87</v>
      </c>
      <c r="B68" s="30" t="s">
        <v>9</v>
      </c>
      <c r="C68" s="33"/>
      <c r="D68" s="33"/>
      <c r="E68" s="45" t="s">
        <v>96</v>
      </c>
      <c r="F68" s="40">
        <f>F69+F80</f>
        <v>68586.7</v>
      </c>
      <c r="G68" s="40">
        <f>G69+G80</f>
        <v>64275.599999999991</v>
      </c>
      <c r="H68" s="42">
        <f t="shared" si="0"/>
        <v>93.7</v>
      </c>
    </row>
    <row r="69" spans="1:8" s="32" customFormat="1" ht="92.4" x14ac:dyDescent="0.3">
      <c r="A69" s="16" t="s">
        <v>87</v>
      </c>
      <c r="B69" s="16" t="s">
        <v>9</v>
      </c>
      <c r="C69" s="73" t="s">
        <v>70</v>
      </c>
      <c r="D69" s="16"/>
      <c r="E69" s="140" t="s">
        <v>564</v>
      </c>
      <c r="F69" s="95">
        <f>F70</f>
        <v>27463.200000000001</v>
      </c>
      <c r="G69" s="95">
        <f>G70</f>
        <v>25085.599999999999</v>
      </c>
      <c r="H69" s="62">
        <f t="shared" si="0"/>
        <v>91.3</v>
      </c>
    </row>
    <row r="70" spans="1:8" s="32" customFormat="1" ht="40.200000000000003" x14ac:dyDescent="0.3">
      <c r="A70" s="16" t="s">
        <v>87</v>
      </c>
      <c r="B70" s="16" t="s">
        <v>9</v>
      </c>
      <c r="C70" s="52" t="s">
        <v>71</v>
      </c>
      <c r="D70" s="16"/>
      <c r="E70" s="48" t="s">
        <v>152</v>
      </c>
      <c r="F70" s="92">
        <f>F71+F73+F75+F77</f>
        <v>27463.200000000001</v>
      </c>
      <c r="G70" s="92">
        <f>G71+G73+G75+G77</f>
        <v>25085.599999999999</v>
      </c>
      <c r="H70" s="58">
        <f t="shared" si="0"/>
        <v>91.3</v>
      </c>
    </row>
    <row r="71" spans="1:8" s="32" customFormat="1" ht="40.200000000000003" x14ac:dyDescent="0.3">
      <c r="A71" s="16" t="s">
        <v>87</v>
      </c>
      <c r="B71" s="16" t="s">
        <v>9</v>
      </c>
      <c r="C71" s="82" t="s">
        <v>452</v>
      </c>
      <c r="D71" s="16"/>
      <c r="E71" s="96" t="s">
        <v>153</v>
      </c>
      <c r="F71" s="41">
        <f>F72</f>
        <v>261</v>
      </c>
      <c r="G71" s="41">
        <f>G72</f>
        <v>261</v>
      </c>
      <c r="H71" s="93">
        <f t="shared" si="0"/>
        <v>100</v>
      </c>
    </row>
    <row r="72" spans="1:8" s="32" customFormat="1" ht="39.6" x14ac:dyDescent="0.3">
      <c r="A72" s="16" t="s">
        <v>87</v>
      </c>
      <c r="B72" s="16" t="s">
        <v>9</v>
      </c>
      <c r="C72" s="82" t="s">
        <v>452</v>
      </c>
      <c r="D72" s="82" t="s">
        <v>205</v>
      </c>
      <c r="E72" s="97" t="s">
        <v>206</v>
      </c>
      <c r="F72" s="41">
        <f>250+40-29</f>
        <v>261</v>
      </c>
      <c r="G72" s="41">
        <v>261</v>
      </c>
      <c r="H72" s="93">
        <f t="shared" si="0"/>
        <v>100</v>
      </c>
    </row>
    <row r="73" spans="1:8" s="32" customFormat="1" ht="53.4" x14ac:dyDescent="0.3">
      <c r="A73" s="16" t="s">
        <v>87</v>
      </c>
      <c r="B73" s="16" t="s">
        <v>9</v>
      </c>
      <c r="C73" s="133" t="s">
        <v>453</v>
      </c>
      <c r="D73" s="16"/>
      <c r="E73" s="96" t="s">
        <v>154</v>
      </c>
      <c r="F73" s="41">
        <f>F74</f>
        <v>211</v>
      </c>
      <c r="G73" s="41">
        <f>G74</f>
        <v>211</v>
      </c>
      <c r="H73" s="93">
        <f t="shared" si="0"/>
        <v>100</v>
      </c>
    </row>
    <row r="74" spans="1:8" s="32" customFormat="1" ht="39.6" x14ac:dyDescent="0.3">
      <c r="A74" s="16" t="s">
        <v>87</v>
      </c>
      <c r="B74" s="16" t="s">
        <v>9</v>
      </c>
      <c r="C74" s="133" t="s">
        <v>453</v>
      </c>
      <c r="D74" s="82" t="s">
        <v>205</v>
      </c>
      <c r="E74" s="97" t="s">
        <v>206</v>
      </c>
      <c r="F74" s="41">
        <f>100+29+42+40</f>
        <v>211</v>
      </c>
      <c r="G74" s="41">
        <v>211</v>
      </c>
      <c r="H74" s="93">
        <f t="shared" si="0"/>
        <v>100</v>
      </c>
    </row>
    <row r="75" spans="1:8" s="32" customFormat="1" ht="79.8" x14ac:dyDescent="0.3">
      <c r="A75" s="16" t="s">
        <v>87</v>
      </c>
      <c r="B75" s="16" t="s">
        <v>9</v>
      </c>
      <c r="C75" s="133" t="s">
        <v>454</v>
      </c>
      <c r="D75" s="16"/>
      <c r="E75" s="96" t="s">
        <v>155</v>
      </c>
      <c r="F75" s="41">
        <f>F76</f>
        <v>324.8</v>
      </c>
      <c r="G75" s="41">
        <f>G76</f>
        <v>324.8</v>
      </c>
      <c r="H75" s="93">
        <f t="shared" si="0"/>
        <v>100</v>
      </c>
    </row>
    <row r="76" spans="1:8" s="32" customFormat="1" ht="39.6" x14ac:dyDescent="0.3">
      <c r="A76" s="16" t="s">
        <v>87</v>
      </c>
      <c r="B76" s="16" t="s">
        <v>9</v>
      </c>
      <c r="C76" s="133" t="s">
        <v>454</v>
      </c>
      <c r="D76" s="82" t="s">
        <v>205</v>
      </c>
      <c r="E76" s="97" t="s">
        <v>206</v>
      </c>
      <c r="F76" s="41">
        <f>330-5.2</f>
        <v>324.8</v>
      </c>
      <c r="G76" s="41">
        <v>324.8</v>
      </c>
      <c r="H76" s="93">
        <f t="shared" si="0"/>
        <v>100</v>
      </c>
    </row>
    <row r="77" spans="1:8" s="32" customFormat="1" ht="40.200000000000003" x14ac:dyDescent="0.3">
      <c r="A77" s="16" t="s">
        <v>87</v>
      </c>
      <c r="B77" s="16" t="s">
        <v>9</v>
      </c>
      <c r="C77" s="74">
        <v>310223174</v>
      </c>
      <c r="D77" s="16"/>
      <c r="E77" s="96" t="s">
        <v>156</v>
      </c>
      <c r="F77" s="41">
        <f>SUM(F78:F79)</f>
        <v>26666.400000000001</v>
      </c>
      <c r="G77" s="41">
        <f>SUM(G78:G79)</f>
        <v>24288.799999999999</v>
      </c>
      <c r="H77" s="93">
        <f t="shared" si="0"/>
        <v>91.1</v>
      </c>
    </row>
    <row r="78" spans="1:8" s="32" customFormat="1" ht="39.6" x14ac:dyDescent="0.3">
      <c r="A78" s="16" t="s">
        <v>87</v>
      </c>
      <c r="B78" s="16" t="s">
        <v>9</v>
      </c>
      <c r="C78" s="74">
        <v>310223174</v>
      </c>
      <c r="D78" s="82" t="s">
        <v>205</v>
      </c>
      <c r="E78" s="97" t="s">
        <v>206</v>
      </c>
      <c r="F78" s="41">
        <f>9373.3+1497.8+15466.2+97.4+222.5-36.8-40</f>
        <v>26580.400000000001</v>
      </c>
      <c r="G78" s="41">
        <v>24202.799999999999</v>
      </c>
      <c r="H78" s="93">
        <f t="shared" ref="H78:H141" si="10">ROUND((G78/F78*100),1)</f>
        <v>91.1</v>
      </c>
    </row>
    <row r="79" spans="1:8" s="32" customFormat="1" ht="26.4" x14ac:dyDescent="0.3">
      <c r="A79" s="16" t="s">
        <v>87</v>
      </c>
      <c r="B79" s="16" t="s">
        <v>9</v>
      </c>
      <c r="C79" s="74">
        <v>310223174</v>
      </c>
      <c r="D79" s="82" t="s">
        <v>129</v>
      </c>
      <c r="E79" s="97" t="s">
        <v>130</v>
      </c>
      <c r="F79" s="41">
        <f>16.3+40.4+29.3</f>
        <v>86</v>
      </c>
      <c r="G79" s="41">
        <v>86</v>
      </c>
      <c r="H79" s="93">
        <f t="shared" si="10"/>
        <v>100</v>
      </c>
    </row>
    <row r="80" spans="1:8" s="32" customFormat="1" ht="26.4" x14ac:dyDescent="0.3">
      <c r="A80" s="5" t="s">
        <v>87</v>
      </c>
      <c r="B80" s="5" t="s">
        <v>9</v>
      </c>
      <c r="C80" s="83">
        <v>9900000000</v>
      </c>
      <c r="D80" s="5"/>
      <c r="E80" s="84" t="s">
        <v>139</v>
      </c>
      <c r="F80" s="95">
        <f>F81+F90+F85</f>
        <v>41123.499999999993</v>
      </c>
      <c r="G80" s="95">
        <f>G81+G90+G85</f>
        <v>39189.999999999993</v>
      </c>
      <c r="H80" s="62">
        <f t="shared" si="10"/>
        <v>95.3</v>
      </c>
    </row>
    <row r="81" spans="1:8" s="32" customFormat="1" ht="27" x14ac:dyDescent="0.3">
      <c r="A81" s="16" t="s">
        <v>87</v>
      </c>
      <c r="B81" s="16" t="s">
        <v>9</v>
      </c>
      <c r="C81" s="79">
        <v>9930000000</v>
      </c>
      <c r="D81" s="16"/>
      <c r="E81" s="22" t="s">
        <v>41</v>
      </c>
      <c r="F81" s="39">
        <f>F82</f>
        <v>239.6</v>
      </c>
      <c r="G81" s="39">
        <f>G82</f>
        <v>226.7</v>
      </c>
      <c r="H81" s="93">
        <f t="shared" si="10"/>
        <v>94.6</v>
      </c>
    </row>
    <row r="82" spans="1:8" s="32" customFormat="1" ht="38.25" customHeight="1" x14ac:dyDescent="0.3">
      <c r="A82" s="16" t="s">
        <v>87</v>
      </c>
      <c r="B82" s="16" t="s">
        <v>9</v>
      </c>
      <c r="C82" s="79">
        <v>9930010540</v>
      </c>
      <c r="D82" s="16"/>
      <c r="E82" s="22" t="s">
        <v>16</v>
      </c>
      <c r="F82" s="39">
        <f>F83+F84</f>
        <v>239.6</v>
      </c>
      <c r="G82" s="39">
        <f>G83+G84</f>
        <v>226.7</v>
      </c>
      <c r="H82" s="93">
        <f t="shared" si="10"/>
        <v>94.6</v>
      </c>
    </row>
    <row r="83" spans="1:8" s="32" customFormat="1" ht="39.6" x14ac:dyDescent="0.3">
      <c r="A83" s="16" t="s">
        <v>87</v>
      </c>
      <c r="B83" s="16" t="s">
        <v>9</v>
      </c>
      <c r="C83" s="79">
        <v>9930010540</v>
      </c>
      <c r="D83" s="16" t="s">
        <v>63</v>
      </c>
      <c r="E83" s="101" t="s">
        <v>64</v>
      </c>
      <c r="F83" s="39">
        <v>217.7</v>
      </c>
      <c r="G83" s="39">
        <v>207</v>
      </c>
      <c r="H83" s="93">
        <f t="shared" si="10"/>
        <v>95.1</v>
      </c>
    </row>
    <row r="84" spans="1:8" s="32" customFormat="1" ht="39.6" x14ac:dyDescent="0.3">
      <c r="A84" s="16" t="s">
        <v>87</v>
      </c>
      <c r="B84" s="16" t="s">
        <v>9</v>
      </c>
      <c r="C84" s="79">
        <v>9930010540</v>
      </c>
      <c r="D84" s="82" t="s">
        <v>205</v>
      </c>
      <c r="E84" s="97" t="s">
        <v>206</v>
      </c>
      <c r="F84" s="39">
        <v>21.9</v>
      </c>
      <c r="G84" s="39">
        <v>19.7</v>
      </c>
      <c r="H84" s="93">
        <f t="shared" si="10"/>
        <v>90</v>
      </c>
    </row>
    <row r="85" spans="1:8" s="32" customFormat="1" ht="40.200000000000003" x14ac:dyDescent="0.3">
      <c r="A85" s="16" t="s">
        <v>87</v>
      </c>
      <c r="B85" s="16" t="s">
        <v>9</v>
      </c>
      <c r="C85" s="16" t="s">
        <v>25</v>
      </c>
      <c r="D85" s="16"/>
      <c r="E85" s="98" t="s">
        <v>39</v>
      </c>
      <c r="F85" s="39">
        <f>F86</f>
        <v>4803.7</v>
      </c>
      <c r="G85" s="39">
        <f>G86</f>
        <v>4595.2</v>
      </c>
      <c r="H85" s="93">
        <f t="shared" si="10"/>
        <v>95.7</v>
      </c>
    </row>
    <row r="86" spans="1:8" s="32" customFormat="1" ht="27" x14ac:dyDescent="0.3">
      <c r="A86" s="16" t="s">
        <v>87</v>
      </c>
      <c r="B86" s="16" t="s">
        <v>9</v>
      </c>
      <c r="C86" s="82" t="s">
        <v>527</v>
      </c>
      <c r="D86" s="16"/>
      <c r="E86" s="98" t="s">
        <v>40</v>
      </c>
      <c r="F86" s="39">
        <f>SUM(F87:F89)</f>
        <v>4803.7</v>
      </c>
      <c r="G86" s="39">
        <f>SUM(G87:G89)</f>
        <v>4595.2</v>
      </c>
      <c r="H86" s="93">
        <f t="shared" si="10"/>
        <v>95.7</v>
      </c>
    </row>
    <row r="87" spans="1:8" s="32" customFormat="1" ht="39.6" x14ac:dyDescent="0.3">
      <c r="A87" s="16" t="s">
        <v>87</v>
      </c>
      <c r="B87" s="16" t="s">
        <v>9</v>
      </c>
      <c r="C87" s="82" t="s">
        <v>527</v>
      </c>
      <c r="D87" s="82" t="s">
        <v>205</v>
      </c>
      <c r="E87" s="97" t="s">
        <v>206</v>
      </c>
      <c r="F87" s="39">
        <f>242+70</f>
        <v>312</v>
      </c>
      <c r="G87" s="39">
        <v>240.3</v>
      </c>
      <c r="H87" s="93">
        <f t="shared" si="10"/>
        <v>77</v>
      </c>
    </row>
    <row r="88" spans="1:8" s="32" customFormat="1" ht="14.4" x14ac:dyDescent="0.3">
      <c r="A88" s="16" t="s">
        <v>87</v>
      </c>
      <c r="B88" s="16" t="s">
        <v>9</v>
      </c>
      <c r="C88" s="82" t="s">
        <v>527</v>
      </c>
      <c r="D88" s="16" t="s">
        <v>81</v>
      </c>
      <c r="E88" s="97" t="s">
        <v>82</v>
      </c>
      <c r="F88" s="39">
        <v>426</v>
      </c>
      <c r="G88" s="39">
        <v>306.2</v>
      </c>
      <c r="H88" s="93">
        <f t="shared" si="10"/>
        <v>71.900000000000006</v>
      </c>
    </row>
    <row r="89" spans="1:8" s="32" customFormat="1" ht="26.4" x14ac:dyDescent="0.3">
      <c r="A89" s="16" t="s">
        <v>87</v>
      </c>
      <c r="B89" s="16" t="s">
        <v>9</v>
      </c>
      <c r="C89" s="82" t="s">
        <v>527</v>
      </c>
      <c r="D89" s="82" t="s">
        <v>129</v>
      </c>
      <c r="E89" s="97" t="s">
        <v>130</v>
      </c>
      <c r="F89" s="39">
        <f>602+893.7+210+90+100+350+1700+120</f>
        <v>4065.7</v>
      </c>
      <c r="G89" s="39">
        <v>4048.7</v>
      </c>
      <c r="H89" s="93">
        <f t="shared" si="10"/>
        <v>99.6</v>
      </c>
    </row>
    <row r="90" spans="1:8" s="32" customFormat="1" ht="25.5" customHeight="1" x14ac:dyDescent="0.3">
      <c r="A90" s="16" t="s">
        <v>87</v>
      </c>
      <c r="B90" s="16" t="s">
        <v>9</v>
      </c>
      <c r="C90" s="82" t="s">
        <v>188</v>
      </c>
      <c r="D90" s="16"/>
      <c r="E90" s="98" t="s">
        <v>189</v>
      </c>
      <c r="F90" s="39">
        <f>F91+F94+F98</f>
        <v>36080.199999999997</v>
      </c>
      <c r="G90" s="39">
        <f t="shared" ref="G90" si="11">G91+G94+G98</f>
        <v>34368.1</v>
      </c>
      <c r="H90" s="93">
        <f t="shared" si="10"/>
        <v>95.3</v>
      </c>
    </row>
    <row r="91" spans="1:8" s="32" customFormat="1" ht="39.6" x14ac:dyDescent="0.3">
      <c r="A91" s="16" t="s">
        <v>87</v>
      </c>
      <c r="B91" s="16" t="s">
        <v>9</v>
      </c>
      <c r="C91" s="21" t="s">
        <v>529</v>
      </c>
      <c r="D91" s="47"/>
      <c r="E91" s="54" t="s">
        <v>278</v>
      </c>
      <c r="F91" s="41">
        <f>SUM(F92:F93)</f>
        <v>9986.7999999999993</v>
      </c>
      <c r="G91" s="41">
        <f>SUM(G92:G93)</f>
        <v>9981.3000000000011</v>
      </c>
      <c r="H91" s="93">
        <f t="shared" si="10"/>
        <v>99.9</v>
      </c>
    </row>
    <row r="92" spans="1:8" s="32" customFormat="1" ht="26.4" x14ac:dyDescent="0.3">
      <c r="A92" s="16" t="s">
        <v>87</v>
      </c>
      <c r="B92" s="16" t="s">
        <v>9</v>
      </c>
      <c r="C92" s="21" t="s">
        <v>529</v>
      </c>
      <c r="D92" s="16" t="s">
        <v>65</v>
      </c>
      <c r="E92" s="101" t="s">
        <v>128</v>
      </c>
      <c r="F92" s="39">
        <f>9107.9+115.8</f>
        <v>9223.6999999999989</v>
      </c>
      <c r="G92" s="41">
        <v>9223.7000000000007</v>
      </c>
      <c r="H92" s="93">
        <f t="shared" si="10"/>
        <v>100</v>
      </c>
    </row>
    <row r="93" spans="1:8" s="32" customFormat="1" ht="39.6" x14ac:dyDescent="0.3">
      <c r="A93" s="16" t="s">
        <v>87</v>
      </c>
      <c r="B93" s="16" t="s">
        <v>9</v>
      </c>
      <c r="C93" s="21" t="s">
        <v>529</v>
      </c>
      <c r="D93" s="82" t="s">
        <v>205</v>
      </c>
      <c r="E93" s="97" t="s">
        <v>206</v>
      </c>
      <c r="F93" s="41">
        <v>763.1</v>
      </c>
      <c r="G93" s="41">
        <v>757.6</v>
      </c>
      <c r="H93" s="93">
        <f t="shared" si="10"/>
        <v>99.3</v>
      </c>
    </row>
    <row r="94" spans="1:8" s="32" customFormat="1" ht="54.75" customHeight="1" x14ac:dyDescent="0.3">
      <c r="A94" s="16" t="s">
        <v>87</v>
      </c>
      <c r="B94" s="16" t="s">
        <v>9</v>
      </c>
      <c r="C94" s="21" t="s">
        <v>531</v>
      </c>
      <c r="D94" s="47"/>
      <c r="E94" s="54" t="s">
        <v>530</v>
      </c>
      <c r="F94" s="41">
        <f>SUM(F95:F97)</f>
        <v>25838.999999999996</v>
      </c>
      <c r="G94" s="41">
        <f>SUM(G95:G97)</f>
        <v>24132.399999999998</v>
      </c>
      <c r="H94" s="93">
        <f t="shared" si="10"/>
        <v>93.4</v>
      </c>
    </row>
    <row r="95" spans="1:8" s="32" customFormat="1" ht="26.4" x14ac:dyDescent="0.3">
      <c r="A95" s="16" t="s">
        <v>87</v>
      </c>
      <c r="B95" s="16" t="s">
        <v>9</v>
      </c>
      <c r="C95" s="21" t="s">
        <v>531</v>
      </c>
      <c r="D95" s="16" t="s">
        <v>65</v>
      </c>
      <c r="E95" s="101" t="s">
        <v>128</v>
      </c>
      <c r="F95" s="41">
        <f>9754.4+975.4-235</f>
        <v>10494.8</v>
      </c>
      <c r="G95" s="41">
        <v>10438.799999999999</v>
      </c>
      <c r="H95" s="93">
        <f t="shared" si="10"/>
        <v>99.5</v>
      </c>
    </row>
    <row r="96" spans="1:8" s="32" customFormat="1" ht="39.6" x14ac:dyDescent="0.3">
      <c r="A96" s="16" t="s">
        <v>87</v>
      </c>
      <c r="B96" s="16" t="s">
        <v>9</v>
      </c>
      <c r="C96" s="21" t="s">
        <v>531</v>
      </c>
      <c r="D96" s="82" t="s">
        <v>205</v>
      </c>
      <c r="E96" s="97" t="s">
        <v>206</v>
      </c>
      <c r="F96" s="41">
        <v>15223.4</v>
      </c>
      <c r="G96" s="41">
        <v>13619.9</v>
      </c>
      <c r="H96" s="93">
        <f t="shared" si="10"/>
        <v>89.5</v>
      </c>
    </row>
    <row r="97" spans="1:8" s="32" customFormat="1" ht="26.4" x14ac:dyDescent="0.3">
      <c r="A97" s="16" t="s">
        <v>87</v>
      </c>
      <c r="B97" s="16" t="s">
        <v>9</v>
      </c>
      <c r="C97" s="21" t="s">
        <v>531</v>
      </c>
      <c r="D97" s="82" t="s">
        <v>129</v>
      </c>
      <c r="E97" s="97" t="s">
        <v>130</v>
      </c>
      <c r="F97" s="106">
        <v>120.8</v>
      </c>
      <c r="G97" s="106">
        <v>73.7</v>
      </c>
      <c r="H97" s="93">
        <f t="shared" si="10"/>
        <v>61</v>
      </c>
    </row>
    <row r="98" spans="1:8" s="32" customFormat="1" ht="79.8" x14ac:dyDescent="0.3">
      <c r="A98" s="16" t="s">
        <v>87</v>
      </c>
      <c r="B98" s="16" t="s">
        <v>9</v>
      </c>
      <c r="C98" s="21" t="s">
        <v>715</v>
      </c>
      <c r="D98" s="82"/>
      <c r="E98" s="172" t="s">
        <v>714</v>
      </c>
      <c r="F98" s="106">
        <f>F99</f>
        <v>254.4</v>
      </c>
      <c r="G98" s="106">
        <f t="shared" ref="G98" si="12">G99</f>
        <v>254.4</v>
      </c>
      <c r="H98" s="93">
        <f t="shared" si="10"/>
        <v>100</v>
      </c>
    </row>
    <row r="99" spans="1:8" s="32" customFormat="1" ht="26.4" x14ac:dyDescent="0.3">
      <c r="A99" s="16" t="s">
        <v>87</v>
      </c>
      <c r="B99" s="16" t="s">
        <v>9</v>
      </c>
      <c r="C99" s="21" t="s">
        <v>715</v>
      </c>
      <c r="D99" s="16" t="s">
        <v>65</v>
      </c>
      <c r="E99" s="101" t="s">
        <v>128</v>
      </c>
      <c r="F99" s="106">
        <v>254.4</v>
      </c>
      <c r="G99" s="106">
        <v>254.4</v>
      </c>
      <c r="H99" s="93">
        <f t="shared" si="10"/>
        <v>100</v>
      </c>
    </row>
    <row r="100" spans="1:8" ht="42" x14ac:dyDescent="0.3">
      <c r="A100" s="4" t="s">
        <v>92</v>
      </c>
      <c r="B100" s="3"/>
      <c r="C100" s="3"/>
      <c r="D100" s="3"/>
      <c r="E100" s="49" t="s">
        <v>97</v>
      </c>
      <c r="F100" s="91">
        <f>F101+F107+F135</f>
        <v>9642.1999999999989</v>
      </c>
      <c r="G100" s="91">
        <f>G101+G107+G135</f>
        <v>9113</v>
      </c>
      <c r="H100" s="186">
        <f t="shared" si="10"/>
        <v>94.5</v>
      </c>
    </row>
    <row r="101" spans="1:8" ht="14.4" x14ac:dyDescent="0.3">
      <c r="A101" s="28" t="s">
        <v>92</v>
      </c>
      <c r="B101" s="28" t="s">
        <v>93</v>
      </c>
      <c r="C101" s="28"/>
      <c r="D101" s="34"/>
      <c r="E101" s="46" t="s">
        <v>18</v>
      </c>
      <c r="F101" s="40">
        <f>F104</f>
        <v>1202</v>
      </c>
      <c r="G101" s="40">
        <f>G104</f>
        <v>1202</v>
      </c>
      <c r="H101" s="42">
        <f t="shared" si="10"/>
        <v>100</v>
      </c>
    </row>
    <row r="102" spans="1:8" ht="26.4" x14ac:dyDescent="0.25">
      <c r="A102" s="16" t="s">
        <v>92</v>
      </c>
      <c r="B102" s="16" t="s">
        <v>93</v>
      </c>
      <c r="C102" s="79">
        <v>9900000000</v>
      </c>
      <c r="D102" s="34"/>
      <c r="E102" s="55" t="s">
        <v>139</v>
      </c>
      <c r="F102" s="41">
        <f t="shared" ref="F102:G103" si="13">F103</f>
        <v>1202</v>
      </c>
      <c r="G102" s="41">
        <f t="shared" si="13"/>
        <v>1202</v>
      </c>
      <c r="H102" s="93">
        <f t="shared" si="10"/>
        <v>100</v>
      </c>
    </row>
    <row r="103" spans="1:8" ht="26.4" x14ac:dyDescent="0.25">
      <c r="A103" s="16" t="s">
        <v>92</v>
      </c>
      <c r="B103" s="16" t="s">
        <v>93</v>
      </c>
      <c r="C103" s="79">
        <v>9930000000</v>
      </c>
      <c r="D103" s="16"/>
      <c r="E103" s="22" t="s">
        <v>41</v>
      </c>
      <c r="F103" s="41">
        <f t="shared" si="13"/>
        <v>1202</v>
      </c>
      <c r="G103" s="41">
        <f t="shared" si="13"/>
        <v>1202</v>
      </c>
      <c r="H103" s="93">
        <f t="shared" si="10"/>
        <v>100</v>
      </c>
    </row>
    <row r="104" spans="1:8" ht="52.8" x14ac:dyDescent="0.25">
      <c r="A104" s="16" t="s">
        <v>92</v>
      </c>
      <c r="B104" s="16" t="s">
        <v>93</v>
      </c>
      <c r="C104" s="79">
        <v>9930059302</v>
      </c>
      <c r="D104" s="16"/>
      <c r="E104" s="98" t="s">
        <v>360</v>
      </c>
      <c r="F104" s="39">
        <f>SUM(F105:F106)</f>
        <v>1202</v>
      </c>
      <c r="G104" s="39">
        <f>SUM(G105:G106)</f>
        <v>1202</v>
      </c>
      <c r="H104" s="93">
        <f t="shared" si="10"/>
        <v>100</v>
      </c>
    </row>
    <row r="105" spans="1:8" ht="39.6" x14ac:dyDescent="0.25">
      <c r="A105" s="16" t="s">
        <v>92</v>
      </c>
      <c r="B105" s="16" t="s">
        <v>93</v>
      </c>
      <c r="C105" s="79">
        <v>9930059302</v>
      </c>
      <c r="D105" s="16" t="s">
        <v>63</v>
      </c>
      <c r="E105" s="55" t="s">
        <v>64</v>
      </c>
      <c r="F105" s="39">
        <f>1136.9+3</f>
        <v>1139.9000000000001</v>
      </c>
      <c r="G105" s="39">
        <v>1139.9000000000001</v>
      </c>
      <c r="H105" s="93">
        <f t="shared" si="10"/>
        <v>100</v>
      </c>
    </row>
    <row r="106" spans="1:8" ht="39.6" x14ac:dyDescent="0.25">
      <c r="A106" s="16" t="s">
        <v>92</v>
      </c>
      <c r="B106" s="16" t="s">
        <v>93</v>
      </c>
      <c r="C106" s="79">
        <v>9930059302</v>
      </c>
      <c r="D106" s="82" t="s">
        <v>205</v>
      </c>
      <c r="E106" s="97" t="s">
        <v>206</v>
      </c>
      <c r="F106" s="39">
        <f>65.1-3</f>
        <v>62.099999999999994</v>
      </c>
      <c r="G106" s="39">
        <v>62.1</v>
      </c>
      <c r="H106" s="93">
        <f t="shared" si="10"/>
        <v>100</v>
      </c>
    </row>
    <row r="107" spans="1:8" s="32" customFormat="1" ht="53.4" x14ac:dyDescent="0.3">
      <c r="A107" s="28" t="s">
        <v>92</v>
      </c>
      <c r="B107" s="28" t="s">
        <v>109</v>
      </c>
      <c r="C107" s="28"/>
      <c r="D107" s="34"/>
      <c r="E107" s="48" t="s">
        <v>368</v>
      </c>
      <c r="F107" s="40">
        <f>F108+F128</f>
        <v>8406.1999999999989</v>
      </c>
      <c r="G107" s="40">
        <f>G108+G128</f>
        <v>7877</v>
      </c>
      <c r="H107" s="42">
        <f t="shared" si="10"/>
        <v>93.7</v>
      </c>
    </row>
    <row r="108" spans="1:8" s="32" customFormat="1" ht="93" x14ac:dyDescent="0.3">
      <c r="A108" s="21" t="s">
        <v>92</v>
      </c>
      <c r="B108" s="21" t="s">
        <v>109</v>
      </c>
      <c r="C108" s="73" t="s">
        <v>51</v>
      </c>
      <c r="D108" s="16"/>
      <c r="E108" s="64" t="s">
        <v>570</v>
      </c>
      <c r="F108" s="59">
        <f>F109+F114+F118+F123</f>
        <v>2334.7999999999997</v>
      </c>
      <c r="G108" s="59">
        <f>G109+G114+G118+G123</f>
        <v>2107.4</v>
      </c>
      <c r="H108" s="62">
        <f t="shared" si="10"/>
        <v>90.3</v>
      </c>
    </row>
    <row r="109" spans="1:8" s="32" customFormat="1" ht="66.599999999999994" x14ac:dyDescent="0.3">
      <c r="A109" s="21" t="s">
        <v>92</v>
      </c>
      <c r="B109" s="21" t="s">
        <v>109</v>
      </c>
      <c r="C109" s="52" t="s">
        <v>52</v>
      </c>
      <c r="D109" s="16"/>
      <c r="E109" s="48" t="s">
        <v>197</v>
      </c>
      <c r="F109" s="92">
        <f>F110+F112</f>
        <v>337.4</v>
      </c>
      <c r="G109" s="92">
        <f>G110+G112</f>
        <v>334.8</v>
      </c>
      <c r="H109" s="58">
        <f t="shared" si="10"/>
        <v>99.2</v>
      </c>
    </row>
    <row r="110" spans="1:8" s="32" customFormat="1" ht="40.200000000000003" x14ac:dyDescent="0.3">
      <c r="A110" s="21" t="s">
        <v>92</v>
      </c>
      <c r="B110" s="21" t="s">
        <v>109</v>
      </c>
      <c r="C110" s="74">
        <v>1110123305</v>
      </c>
      <c r="D110" s="16"/>
      <c r="E110" s="98" t="s">
        <v>211</v>
      </c>
      <c r="F110" s="39">
        <f>F111</f>
        <v>309.7</v>
      </c>
      <c r="G110" s="39">
        <f>G111</f>
        <v>309.7</v>
      </c>
      <c r="H110" s="93">
        <f t="shared" si="10"/>
        <v>100</v>
      </c>
    </row>
    <row r="111" spans="1:8" s="32" customFormat="1" ht="39.6" x14ac:dyDescent="0.3">
      <c r="A111" s="21" t="s">
        <v>92</v>
      </c>
      <c r="B111" s="21" t="s">
        <v>109</v>
      </c>
      <c r="C111" s="74">
        <v>1110123305</v>
      </c>
      <c r="D111" s="82" t="s">
        <v>205</v>
      </c>
      <c r="E111" s="97" t="s">
        <v>206</v>
      </c>
      <c r="F111" s="39">
        <f>297.4+12.3</f>
        <v>309.7</v>
      </c>
      <c r="G111" s="39">
        <v>309.7</v>
      </c>
      <c r="H111" s="93">
        <f t="shared" si="10"/>
        <v>100</v>
      </c>
    </row>
    <row r="112" spans="1:8" s="32" customFormat="1" ht="50.25" customHeight="1" x14ac:dyDescent="0.3">
      <c r="A112" s="21" t="s">
        <v>92</v>
      </c>
      <c r="B112" s="21" t="s">
        <v>109</v>
      </c>
      <c r="C112" s="74">
        <v>1110123310</v>
      </c>
      <c r="D112" s="16"/>
      <c r="E112" s="98" t="s">
        <v>199</v>
      </c>
      <c r="F112" s="41">
        <f>F113</f>
        <v>27.7</v>
      </c>
      <c r="G112" s="41">
        <f>G113</f>
        <v>25.1</v>
      </c>
      <c r="H112" s="58">
        <f t="shared" si="10"/>
        <v>90.6</v>
      </c>
    </row>
    <row r="113" spans="1:8" s="32" customFormat="1" ht="39.6" x14ac:dyDescent="0.3">
      <c r="A113" s="21" t="s">
        <v>92</v>
      </c>
      <c r="B113" s="21" t="s">
        <v>109</v>
      </c>
      <c r="C113" s="74">
        <v>1110123310</v>
      </c>
      <c r="D113" s="82" t="s">
        <v>205</v>
      </c>
      <c r="E113" s="97" t="s">
        <v>206</v>
      </c>
      <c r="F113" s="41">
        <f>40-12.3</f>
        <v>27.7</v>
      </c>
      <c r="G113" s="41">
        <v>25.1</v>
      </c>
      <c r="H113" s="93">
        <f t="shared" si="10"/>
        <v>90.6</v>
      </c>
    </row>
    <row r="114" spans="1:8" s="32" customFormat="1" ht="40.200000000000003" x14ac:dyDescent="0.3">
      <c r="A114" s="21" t="s">
        <v>92</v>
      </c>
      <c r="B114" s="21" t="s">
        <v>109</v>
      </c>
      <c r="C114" s="52" t="s">
        <v>53</v>
      </c>
      <c r="D114" s="16"/>
      <c r="E114" s="48" t="s">
        <v>193</v>
      </c>
      <c r="F114" s="92">
        <f>F115</f>
        <v>1972.3999999999999</v>
      </c>
      <c r="G114" s="92">
        <f>G115</f>
        <v>1747.6999999999998</v>
      </c>
      <c r="H114" s="58">
        <f t="shared" si="10"/>
        <v>88.6</v>
      </c>
    </row>
    <row r="115" spans="1:8" s="32" customFormat="1" ht="39.6" x14ac:dyDescent="0.3">
      <c r="A115" s="21" t="s">
        <v>92</v>
      </c>
      <c r="B115" s="21" t="s">
        <v>109</v>
      </c>
      <c r="C115" s="74">
        <v>1120123315</v>
      </c>
      <c r="D115" s="16"/>
      <c r="E115" s="97" t="s">
        <v>506</v>
      </c>
      <c r="F115" s="41">
        <f>SUM(F116:F117)</f>
        <v>1972.3999999999999</v>
      </c>
      <c r="G115" s="41">
        <f>SUM(G116:G117)</f>
        <v>1747.6999999999998</v>
      </c>
      <c r="H115" s="93">
        <f t="shared" si="10"/>
        <v>88.6</v>
      </c>
    </row>
    <row r="116" spans="1:8" s="32" customFormat="1" ht="26.4" x14ac:dyDescent="0.3">
      <c r="A116" s="21" t="s">
        <v>92</v>
      </c>
      <c r="B116" s="21" t="s">
        <v>109</v>
      </c>
      <c r="C116" s="74">
        <v>1120123315</v>
      </c>
      <c r="D116" s="82" t="s">
        <v>65</v>
      </c>
      <c r="E116" s="55" t="s">
        <v>128</v>
      </c>
      <c r="F116" s="41">
        <v>118.1</v>
      </c>
      <c r="G116" s="41">
        <v>118.1</v>
      </c>
      <c r="H116" s="93">
        <f t="shared" si="10"/>
        <v>100</v>
      </c>
    </row>
    <row r="117" spans="1:8" s="32" customFormat="1" ht="39.6" x14ac:dyDescent="0.3">
      <c r="A117" s="21" t="s">
        <v>92</v>
      </c>
      <c r="B117" s="21" t="s">
        <v>109</v>
      </c>
      <c r="C117" s="74">
        <v>1120123315</v>
      </c>
      <c r="D117" s="82" t="s">
        <v>205</v>
      </c>
      <c r="E117" s="97" t="s">
        <v>206</v>
      </c>
      <c r="F117" s="41">
        <v>1854.3</v>
      </c>
      <c r="G117" s="41">
        <v>1629.6</v>
      </c>
      <c r="H117" s="58">
        <f t="shared" si="10"/>
        <v>87.9</v>
      </c>
    </row>
    <row r="118" spans="1:8" s="32" customFormat="1" ht="53.4" x14ac:dyDescent="0.3">
      <c r="A118" s="21" t="s">
        <v>92</v>
      </c>
      <c r="B118" s="21" t="s">
        <v>109</v>
      </c>
      <c r="C118" s="52" t="s">
        <v>54</v>
      </c>
      <c r="D118" s="16"/>
      <c r="E118" s="48" t="s">
        <v>246</v>
      </c>
      <c r="F118" s="92">
        <f>F119+F121</f>
        <v>10</v>
      </c>
      <c r="G118" s="92">
        <f>G119+G121</f>
        <v>10</v>
      </c>
      <c r="H118" s="58">
        <f t="shared" si="10"/>
        <v>100</v>
      </c>
    </row>
    <row r="119" spans="1:8" s="32" customFormat="1" ht="26.4" x14ac:dyDescent="0.3">
      <c r="A119" s="21" t="s">
        <v>92</v>
      </c>
      <c r="B119" s="21" t="s">
        <v>109</v>
      </c>
      <c r="C119" s="74">
        <v>1130123320</v>
      </c>
      <c r="D119" s="16"/>
      <c r="E119" s="97" t="s">
        <v>247</v>
      </c>
      <c r="F119" s="41">
        <f>F120</f>
        <v>6.8</v>
      </c>
      <c r="G119" s="41">
        <f>G120</f>
        <v>6.8</v>
      </c>
      <c r="H119" s="93">
        <f t="shared" si="10"/>
        <v>100</v>
      </c>
    </row>
    <row r="120" spans="1:8" s="32" customFormat="1" ht="39.6" x14ac:dyDescent="0.3">
      <c r="A120" s="21" t="s">
        <v>92</v>
      </c>
      <c r="B120" s="21" t="s">
        <v>109</v>
      </c>
      <c r="C120" s="74">
        <v>1130123320</v>
      </c>
      <c r="D120" s="82" t="s">
        <v>205</v>
      </c>
      <c r="E120" s="97" t="s">
        <v>206</v>
      </c>
      <c r="F120" s="41">
        <f>8-1.2</f>
        <v>6.8</v>
      </c>
      <c r="G120" s="41">
        <v>6.8</v>
      </c>
      <c r="H120" s="93">
        <f t="shared" si="10"/>
        <v>100</v>
      </c>
    </row>
    <row r="121" spans="1:8" s="32" customFormat="1" ht="39.6" x14ac:dyDescent="0.3">
      <c r="A121" s="21" t="s">
        <v>92</v>
      </c>
      <c r="B121" s="21" t="s">
        <v>109</v>
      </c>
      <c r="C121" s="74">
        <v>1130123325</v>
      </c>
      <c r="D121" s="16"/>
      <c r="E121" s="97" t="s">
        <v>215</v>
      </c>
      <c r="F121" s="41">
        <f>F122</f>
        <v>3.2</v>
      </c>
      <c r="G121" s="41">
        <f>G122</f>
        <v>3.2</v>
      </c>
      <c r="H121" s="93">
        <f t="shared" si="10"/>
        <v>100</v>
      </c>
    </row>
    <row r="122" spans="1:8" s="32" customFormat="1" ht="39.6" x14ac:dyDescent="0.3">
      <c r="A122" s="21" t="s">
        <v>92</v>
      </c>
      <c r="B122" s="21" t="s">
        <v>109</v>
      </c>
      <c r="C122" s="74">
        <v>1130123325</v>
      </c>
      <c r="D122" s="82" t="s">
        <v>205</v>
      </c>
      <c r="E122" s="97" t="s">
        <v>206</v>
      </c>
      <c r="F122" s="41">
        <f>2+1.2</f>
        <v>3.2</v>
      </c>
      <c r="G122" s="41">
        <v>3.2</v>
      </c>
      <c r="H122" s="93">
        <f t="shared" si="10"/>
        <v>100</v>
      </c>
    </row>
    <row r="123" spans="1:8" s="32" customFormat="1" ht="66.599999999999994" x14ac:dyDescent="0.3">
      <c r="A123" s="21" t="s">
        <v>92</v>
      </c>
      <c r="B123" s="21" t="s">
        <v>109</v>
      </c>
      <c r="C123" s="52" t="s">
        <v>55</v>
      </c>
      <c r="D123" s="16"/>
      <c r="E123" s="48" t="s">
        <v>198</v>
      </c>
      <c r="F123" s="92">
        <f>F124+F126</f>
        <v>15</v>
      </c>
      <c r="G123" s="92">
        <f>G124+G126</f>
        <v>14.9</v>
      </c>
      <c r="H123" s="58">
        <f t="shared" si="10"/>
        <v>99.3</v>
      </c>
    </row>
    <row r="124" spans="1:8" s="32" customFormat="1" ht="26.4" x14ac:dyDescent="0.3">
      <c r="A124" s="21" t="s">
        <v>92</v>
      </c>
      <c r="B124" s="21" t="s">
        <v>109</v>
      </c>
      <c r="C124" s="74">
        <v>1140123330</v>
      </c>
      <c r="D124" s="16"/>
      <c r="E124" s="97" t="s">
        <v>187</v>
      </c>
      <c r="F124" s="41">
        <f>F125</f>
        <v>12</v>
      </c>
      <c r="G124" s="41">
        <f>G125</f>
        <v>11.9</v>
      </c>
      <c r="H124" s="93">
        <f t="shared" si="10"/>
        <v>99.2</v>
      </c>
    </row>
    <row r="125" spans="1:8" s="32" customFormat="1" ht="39.6" x14ac:dyDescent="0.3">
      <c r="A125" s="21" t="s">
        <v>92</v>
      </c>
      <c r="B125" s="21" t="s">
        <v>109</v>
      </c>
      <c r="C125" s="74">
        <v>1140123330</v>
      </c>
      <c r="D125" s="82" t="s">
        <v>205</v>
      </c>
      <c r="E125" s="97" t="s">
        <v>206</v>
      </c>
      <c r="F125" s="41">
        <v>12</v>
      </c>
      <c r="G125" s="41">
        <v>11.9</v>
      </c>
      <c r="H125" s="93">
        <f t="shared" si="10"/>
        <v>99.2</v>
      </c>
    </row>
    <row r="126" spans="1:8" s="32" customFormat="1" ht="39.6" x14ac:dyDescent="0.3">
      <c r="A126" s="21" t="s">
        <v>92</v>
      </c>
      <c r="B126" s="21" t="s">
        <v>109</v>
      </c>
      <c r="C126" s="74">
        <v>1140123335</v>
      </c>
      <c r="D126" s="16"/>
      <c r="E126" s="97" t="s">
        <v>217</v>
      </c>
      <c r="F126" s="41">
        <f>F127</f>
        <v>3</v>
      </c>
      <c r="G126" s="41">
        <f>G127</f>
        <v>3</v>
      </c>
      <c r="H126" s="93">
        <f t="shared" si="10"/>
        <v>100</v>
      </c>
    </row>
    <row r="127" spans="1:8" s="32" customFormat="1" ht="39.6" x14ac:dyDescent="0.3">
      <c r="A127" s="21" t="s">
        <v>92</v>
      </c>
      <c r="B127" s="21" t="s">
        <v>109</v>
      </c>
      <c r="C127" s="74">
        <v>1140123335</v>
      </c>
      <c r="D127" s="82" t="s">
        <v>205</v>
      </c>
      <c r="E127" s="97" t="s">
        <v>206</v>
      </c>
      <c r="F127" s="41">
        <v>3</v>
      </c>
      <c r="G127" s="41">
        <v>3</v>
      </c>
      <c r="H127" s="93">
        <f t="shared" si="10"/>
        <v>100</v>
      </c>
    </row>
    <row r="128" spans="1:8" s="32" customFormat="1" ht="26.4" x14ac:dyDescent="0.3">
      <c r="A128" s="81" t="s">
        <v>92</v>
      </c>
      <c r="B128" s="81" t="s">
        <v>109</v>
      </c>
      <c r="C128" s="73" t="s">
        <v>188</v>
      </c>
      <c r="D128" s="33"/>
      <c r="E128" s="84" t="s">
        <v>139</v>
      </c>
      <c r="F128" s="61">
        <f>F129+F133</f>
        <v>6071.4</v>
      </c>
      <c r="G128" s="61">
        <f t="shared" ref="G128" si="14">G129+G133</f>
        <v>5769.5999999999995</v>
      </c>
      <c r="H128" s="62">
        <f t="shared" si="10"/>
        <v>95</v>
      </c>
    </row>
    <row r="129" spans="1:8" s="32" customFormat="1" ht="66" x14ac:dyDescent="0.3">
      <c r="A129" s="21" t="s">
        <v>92</v>
      </c>
      <c r="B129" s="21" t="s">
        <v>109</v>
      </c>
      <c r="C129" s="21" t="s">
        <v>528</v>
      </c>
      <c r="D129" s="47"/>
      <c r="E129" s="54" t="s">
        <v>532</v>
      </c>
      <c r="F129" s="41">
        <f>SUM(F130:F132)</f>
        <v>6011.5</v>
      </c>
      <c r="G129" s="41">
        <f>SUM(G130:G132)</f>
        <v>5709.7</v>
      </c>
      <c r="H129" s="93">
        <f t="shared" si="10"/>
        <v>95</v>
      </c>
    </row>
    <row r="130" spans="1:8" s="32" customFormat="1" ht="26.4" x14ac:dyDescent="0.3">
      <c r="A130" s="21" t="s">
        <v>92</v>
      </c>
      <c r="B130" s="21" t="s">
        <v>109</v>
      </c>
      <c r="C130" s="21" t="s">
        <v>528</v>
      </c>
      <c r="D130" s="16" t="s">
        <v>65</v>
      </c>
      <c r="E130" s="101" t="s">
        <v>128</v>
      </c>
      <c r="F130" s="41">
        <f>4638.4+525</f>
        <v>5163.3999999999996</v>
      </c>
      <c r="G130" s="41">
        <v>5033.5</v>
      </c>
      <c r="H130" s="93">
        <f t="shared" si="10"/>
        <v>97.5</v>
      </c>
    </row>
    <row r="131" spans="1:8" s="32" customFormat="1" ht="39.6" x14ac:dyDescent="0.3">
      <c r="A131" s="21" t="s">
        <v>92</v>
      </c>
      <c r="B131" s="21" t="s">
        <v>109</v>
      </c>
      <c r="C131" s="21" t="s">
        <v>528</v>
      </c>
      <c r="D131" s="82" t="s">
        <v>205</v>
      </c>
      <c r="E131" s="97" t="s">
        <v>206</v>
      </c>
      <c r="F131" s="41">
        <v>843.1</v>
      </c>
      <c r="G131" s="41">
        <v>676.2</v>
      </c>
      <c r="H131" s="93">
        <f t="shared" si="10"/>
        <v>80.2</v>
      </c>
    </row>
    <row r="132" spans="1:8" s="32" customFormat="1" ht="26.4" x14ac:dyDescent="0.3">
      <c r="A132" s="21" t="s">
        <v>92</v>
      </c>
      <c r="B132" s="21" t="s">
        <v>109</v>
      </c>
      <c r="C132" s="21" t="s">
        <v>528</v>
      </c>
      <c r="D132" s="82" t="s">
        <v>129</v>
      </c>
      <c r="E132" s="97" t="s">
        <v>130</v>
      </c>
      <c r="F132" s="41">
        <v>5</v>
      </c>
      <c r="G132" s="41">
        <v>0</v>
      </c>
      <c r="H132" s="93">
        <f t="shared" si="10"/>
        <v>0</v>
      </c>
    </row>
    <row r="133" spans="1:8" s="32" customFormat="1" ht="79.8" x14ac:dyDescent="0.3">
      <c r="A133" s="21" t="s">
        <v>92</v>
      </c>
      <c r="B133" s="21" t="s">
        <v>109</v>
      </c>
      <c r="C133" s="21" t="s">
        <v>715</v>
      </c>
      <c r="D133" s="82"/>
      <c r="E133" s="172" t="s">
        <v>714</v>
      </c>
      <c r="F133" s="106">
        <f>F134</f>
        <v>59.9</v>
      </c>
      <c r="G133" s="106">
        <f t="shared" ref="G133" si="15">G134</f>
        <v>59.9</v>
      </c>
      <c r="H133" s="93">
        <f t="shared" si="10"/>
        <v>100</v>
      </c>
    </row>
    <row r="134" spans="1:8" s="32" customFormat="1" ht="26.4" x14ac:dyDescent="0.3">
      <c r="A134" s="21" t="s">
        <v>92</v>
      </c>
      <c r="B134" s="21" t="s">
        <v>109</v>
      </c>
      <c r="C134" s="21" t="s">
        <v>715</v>
      </c>
      <c r="D134" s="16" t="s">
        <v>65</v>
      </c>
      <c r="E134" s="101" t="s">
        <v>128</v>
      </c>
      <c r="F134" s="106">
        <v>59.9</v>
      </c>
      <c r="G134" s="106">
        <v>59.9</v>
      </c>
      <c r="H134" s="93">
        <f t="shared" si="10"/>
        <v>100</v>
      </c>
    </row>
    <row r="135" spans="1:8" s="32" customFormat="1" ht="40.200000000000003" x14ac:dyDescent="0.3">
      <c r="A135" s="28" t="s">
        <v>92</v>
      </c>
      <c r="B135" s="28" t="s">
        <v>120</v>
      </c>
      <c r="C135" s="28"/>
      <c r="D135" s="34"/>
      <c r="E135" s="46" t="s">
        <v>22</v>
      </c>
      <c r="F135" s="40">
        <f>F136</f>
        <v>34</v>
      </c>
      <c r="G135" s="40">
        <f>G136</f>
        <v>34</v>
      </c>
      <c r="H135" s="42">
        <f t="shared" si="10"/>
        <v>100</v>
      </c>
    </row>
    <row r="136" spans="1:8" s="32" customFormat="1" ht="93" x14ac:dyDescent="0.3">
      <c r="A136" s="73" t="s">
        <v>92</v>
      </c>
      <c r="B136" s="73" t="s">
        <v>120</v>
      </c>
      <c r="C136" s="73" t="s">
        <v>72</v>
      </c>
      <c r="D136" s="16"/>
      <c r="E136" s="53" t="s">
        <v>569</v>
      </c>
      <c r="F136" s="95">
        <f t="shared" ref="F136:G138" si="16">F137</f>
        <v>34</v>
      </c>
      <c r="G136" s="95">
        <f t="shared" si="16"/>
        <v>34</v>
      </c>
      <c r="H136" s="62">
        <f t="shared" si="10"/>
        <v>100</v>
      </c>
    </row>
    <row r="137" spans="1:8" s="32" customFormat="1" ht="52.8" x14ac:dyDescent="0.3">
      <c r="A137" s="21" t="s">
        <v>92</v>
      </c>
      <c r="B137" s="21" t="s">
        <v>120</v>
      </c>
      <c r="C137" s="52" t="s">
        <v>73</v>
      </c>
      <c r="D137" s="16"/>
      <c r="E137" s="60" t="s">
        <v>182</v>
      </c>
      <c r="F137" s="58">
        <f t="shared" si="16"/>
        <v>34</v>
      </c>
      <c r="G137" s="58">
        <f t="shared" si="16"/>
        <v>34</v>
      </c>
      <c r="H137" s="58">
        <f t="shared" si="10"/>
        <v>100</v>
      </c>
    </row>
    <row r="138" spans="1:8" s="32" customFormat="1" ht="66" x14ac:dyDescent="0.3">
      <c r="A138" s="21" t="s">
        <v>92</v>
      </c>
      <c r="B138" s="21" t="s">
        <v>120</v>
      </c>
      <c r="C138" s="21" t="s">
        <v>503</v>
      </c>
      <c r="D138" s="16"/>
      <c r="E138" s="97" t="s">
        <v>336</v>
      </c>
      <c r="F138" s="41">
        <f t="shared" si="16"/>
        <v>34</v>
      </c>
      <c r="G138" s="41">
        <f t="shared" si="16"/>
        <v>34</v>
      </c>
      <c r="H138" s="93">
        <f t="shared" si="10"/>
        <v>100</v>
      </c>
    </row>
    <row r="139" spans="1:8" s="32" customFormat="1" ht="26.4" x14ac:dyDescent="0.3">
      <c r="A139" s="21" t="s">
        <v>92</v>
      </c>
      <c r="B139" s="21" t="s">
        <v>120</v>
      </c>
      <c r="C139" s="21" t="s">
        <v>503</v>
      </c>
      <c r="D139" s="82" t="s">
        <v>65</v>
      </c>
      <c r="E139" s="55" t="s">
        <v>128</v>
      </c>
      <c r="F139" s="41">
        <v>34</v>
      </c>
      <c r="G139" s="41">
        <v>34</v>
      </c>
      <c r="H139" s="93">
        <f t="shared" si="10"/>
        <v>100</v>
      </c>
    </row>
    <row r="140" spans="1:8" s="32" customFormat="1" ht="15.6" x14ac:dyDescent="0.3">
      <c r="A140" s="4" t="s">
        <v>93</v>
      </c>
      <c r="B140" s="3"/>
      <c r="C140" s="3"/>
      <c r="D140" s="3"/>
      <c r="E140" s="49" t="s">
        <v>99</v>
      </c>
      <c r="F140" s="91">
        <f>F141+F150+F159+F200</f>
        <v>196156.50000000006</v>
      </c>
      <c r="G140" s="91">
        <f>G141+G150+G159+G200</f>
        <v>148781.80000000002</v>
      </c>
      <c r="H140" s="186">
        <f t="shared" si="10"/>
        <v>75.8</v>
      </c>
    </row>
    <row r="141" spans="1:8" s="32" customFormat="1" ht="14.4" x14ac:dyDescent="0.3">
      <c r="A141" s="30" t="s">
        <v>93</v>
      </c>
      <c r="B141" s="30" t="s">
        <v>94</v>
      </c>
      <c r="C141" s="30"/>
      <c r="D141" s="30"/>
      <c r="E141" s="45" t="s">
        <v>102</v>
      </c>
      <c r="F141" s="40">
        <f>F142+F146</f>
        <v>5021.8</v>
      </c>
      <c r="G141" s="40">
        <f t="shared" ref="G141" si="17">G142+G146</f>
        <v>1048.8</v>
      </c>
      <c r="H141" s="42">
        <f t="shared" si="10"/>
        <v>20.9</v>
      </c>
    </row>
    <row r="142" spans="1:8" s="32" customFormat="1" ht="92.4" x14ac:dyDescent="0.3">
      <c r="A142" s="82" t="s">
        <v>93</v>
      </c>
      <c r="B142" s="82" t="s">
        <v>94</v>
      </c>
      <c r="C142" s="73" t="s">
        <v>70</v>
      </c>
      <c r="D142" s="16"/>
      <c r="E142" s="140" t="s">
        <v>564</v>
      </c>
      <c r="F142" s="95">
        <f>F143</f>
        <v>3973</v>
      </c>
      <c r="G142" s="95">
        <f>G143</f>
        <v>0</v>
      </c>
      <c r="H142" s="62">
        <f t="shared" ref="H142:H143" si="18">ROUND((G142/F142*100),1)</f>
        <v>0</v>
      </c>
    </row>
    <row r="143" spans="1:8" s="32" customFormat="1" ht="40.200000000000003" x14ac:dyDescent="0.3">
      <c r="A143" s="82" t="s">
        <v>93</v>
      </c>
      <c r="B143" s="82" t="s">
        <v>94</v>
      </c>
      <c r="C143" s="52" t="s">
        <v>158</v>
      </c>
      <c r="D143" s="16"/>
      <c r="E143" s="98" t="s">
        <v>157</v>
      </c>
      <c r="F143" s="39">
        <f>F144</f>
        <v>3973</v>
      </c>
      <c r="G143" s="39">
        <f t="shared" ref="G143" si="19">G144</f>
        <v>0</v>
      </c>
      <c r="H143" s="93">
        <f t="shared" si="18"/>
        <v>0</v>
      </c>
    </row>
    <row r="144" spans="1:8" s="32" customFormat="1" ht="40.200000000000003" x14ac:dyDescent="0.3">
      <c r="A144" s="82" t="s">
        <v>93</v>
      </c>
      <c r="B144" s="82" t="s">
        <v>94</v>
      </c>
      <c r="C144" s="21" t="s">
        <v>618</v>
      </c>
      <c r="D144" s="16"/>
      <c r="E144" s="98" t="s">
        <v>669</v>
      </c>
      <c r="F144" s="39">
        <f>F145</f>
        <v>3973</v>
      </c>
      <c r="G144" s="39">
        <f t="shared" ref="G144" si="20">G145</f>
        <v>0</v>
      </c>
      <c r="H144" s="93">
        <f t="shared" ref="H144:H196" si="21">ROUND((G144/F144*100),1)</f>
        <v>0</v>
      </c>
    </row>
    <row r="145" spans="1:8" s="32" customFormat="1" ht="39.6" x14ac:dyDescent="0.3">
      <c r="A145" s="82" t="s">
        <v>93</v>
      </c>
      <c r="B145" s="82" t="s">
        <v>94</v>
      </c>
      <c r="C145" s="21" t="s">
        <v>618</v>
      </c>
      <c r="D145" s="82" t="s">
        <v>205</v>
      </c>
      <c r="E145" s="97" t="s">
        <v>206</v>
      </c>
      <c r="F145" s="39">
        <f>43.7+3929.3</f>
        <v>3973</v>
      </c>
      <c r="G145" s="39">
        <v>0</v>
      </c>
      <c r="H145" s="93">
        <f t="shared" si="21"/>
        <v>0</v>
      </c>
    </row>
    <row r="146" spans="1:8" s="32" customFormat="1" ht="93" x14ac:dyDescent="0.3">
      <c r="A146" s="5" t="s">
        <v>93</v>
      </c>
      <c r="B146" s="5" t="s">
        <v>94</v>
      </c>
      <c r="C146" s="76">
        <v>400000000</v>
      </c>
      <c r="D146" s="30"/>
      <c r="E146" s="139" t="s">
        <v>563</v>
      </c>
      <c r="F146" s="95">
        <f t="shared" ref="F146:G148" si="22">F147</f>
        <v>1048.8</v>
      </c>
      <c r="G146" s="95">
        <f t="shared" si="22"/>
        <v>1048.8</v>
      </c>
      <c r="H146" s="62">
        <f t="shared" si="21"/>
        <v>100</v>
      </c>
    </row>
    <row r="147" spans="1:8" s="32" customFormat="1" ht="51.75" customHeight="1" x14ac:dyDescent="0.3">
      <c r="A147" s="47" t="s">
        <v>93</v>
      </c>
      <c r="B147" s="47" t="s">
        <v>94</v>
      </c>
      <c r="C147" s="75">
        <v>410000000</v>
      </c>
      <c r="D147" s="30"/>
      <c r="E147" s="46" t="s">
        <v>457</v>
      </c>
      <c r="F147" s="92">
        <f>F148</f>
        <v>1048.8</v>
      </c>
      <c r="G147" s="92">
        <f t="shared" si="22"/>
        <v>1048.8</v>
      </c>
      <c r="H147" s="58">
        <f t="shared" si="21"/>
        <v>100</v>
      </c>
    </row>
    <row r="148" spans="1:8" s="32" customFormat="1" ht="27" x14ac:dyDescent="0.3">
      <c r="A148" s="82" t="s">
        <v>93</v>
      </c>
      <c r="B148" s="82" t="s">
        <v>94</v>
      </c>
      <c r="C148" s="133" t="s">
        <v>632</v>
      </c>
      <c r="D148" s="16"/>
      <c r="E148" s="98" t="s">
        <v>164</v>
      </c>
      <c r="F148" s="39">
        <f>F149</f>
        <v>1048.8</v>
      </c>
      <c r="G148" s="39">
        <f t="shared" si="22"/>
        <v>1048.8</v>
      </c>
      <c r="H148" s="93">
        <f t="shared" si="21"/>
        <v>100</v>
      </c>
    </row>
    <row r="149" spans="1:8" s="32" customFormat="1" ht="39.6" x14ac:dyDescent="0.3">
      <c r="A149" s="82" t="s">
        <v>93</v>
      </c>
      <c r="B149" s="82" t="s">
        <v>94</v>
      </c>
      <c r="C149" s="133" t="s">
        <v>632</v>
      </c>
      <c r="D149" s="82" t="s">
        <v>205</v>
      </c>
      <c r="E149" s="97" t="s">
        <v>206</v>
      </c>
      <c r="F149" s="39">
        <f>1382.3-333.5</f>
        <v>1048.8</v>
      </c>
      <c r="G149" s="39">
        <v>1048.8</v>
      </c>
      <c r="H149" s="93">
        <f t="shared" si="21"/>
        <v>100</v>
      </c>
    </row>
    <row r="150" spans="1:8" ht="14.4" x14ac:dyDescent="0.3">
      <c r="A150" s="30" t="s">
        <v>93</v>
      </c>
      <c r="B150" s="30" t="s">
        <v>100</v>
      </c>
      <c r="C150" s="30"/>
      <c r="D150" s="30"/>
      <c r="E150" s="27" t="s">
        <v>1</v>
      </c>
      <c r="F150" s="40">
        <f t="shared" ref="F150:G151" si="23">F151</f>
        <v>27326.400000000001</v>
      </c>
      <c r="G150" s="40">
        <f t="shared" si="23"/>
        <v>27155</v>
      </c>
      <c r="H150" s="42">
        <f t="shared" si="21"/>
        <v>99.4</v>
      </c>
    </row>
    <row r="151" spans="1:8" ht="106.2" x14ac:dyDescent="0.3">
      <c r="A151" s="5" t="s">
        <v>93</v>
      </c>
      <c r="B151" s="5" t="s">
        <v>100</v>
      </c>
      <c r="C151" s="73" t="s">
        <v>68</v>
      </c>
      <c r="D151" s="30"/>
      <c r="E151" s="139" t="s">
        <v>568</v>
      </c>
      <c r="F151" s="95">
        <f t="shared" si="23"/>
        <v>27326.400000000001</v>
      </c>
      <c r="G151" s="95">
        <f t="shared" si="23"/>
        <v>27155</v>
      </c>
      <c r="H151" s="62">
        <f t="shared" si="21"/>
        <v>99.4</v>
      </c>
    </row>
    <row r="152" spans="1:8" ht="66.599999999999994" x14ac:dyDescent="0.3">
      <c r="A152" s="16" t="s">
        <v>93</v>
      </c>
      <c r="B152" s="16" t="s">
        <v>100</v>
      </c>
      <c r="C152" s="52" t="s">
        <v>208</v>
      </c>
      <c r="D152" s="30"/>
      <c r="E152" s="46" t="s">
        <v>181</v>
      </c>
      <c r="F152" s="92">
        <f>F153+F155+F157</f>
        <v>27326.400000000001</v>
      </c>
      <c r="G152" s="92">
        <f>G153+G155+G157</f>
        <v>27155</v>
      </c>
      <c r="H152" s="58">
        <f t="shared" si="21"/>
        <v>99.4</v>
      </c>
    </row>
    <row r="153" spans="1:8" ht="79.8" x14ac:dyDescent="0.3">
      <c r="A153" s="16" t="s">
        <v>93</v>
      </c>
      <c r="B153" s="16" t="s">
        <v>100</v>
      </c>
      <c r="C153" s="74" t="s">
        <v>299</v>
      </c>
      <c r="D153" s="30"/>
      <c r="E153" s="96" t="s">
        <v>209</v>
      </c>
      <c r="F153" s="39">
        <f>F154</f>
        <v>5028.8</v>
      </c>
      <c r="G153" s="39">
        <f>G154</f>
        <v>4994.5</v>
      </c>
      <c r="H153" s="93">
        <f t="shared" si="21"/>
        <v>99.3</v>
      </c>
    </row>
    <row r="154" spans="1:8" ht="39.6" x14ac:dyDescent="0.25">
      <c r="A154" s="16" t="s">
        <v>93</v>
      </c>
      <c r="B154" s="16" t="s">
        <v>100</v>
      </c>
      <c r="C154" s="74" t="s">
        <v>299</v>
      </c>
      <c r="D154" s="82" t="s">
        <v>205</v>
      </c>
      <c r="E154" s="97" t="s">
        <v>206</v>
      </c>
      <c r="F154" s="39">
        <v>5028.8</v>
      </c>
      <c r="G154" s="39">
        <v>4994.5</v>
      </c>
      <c r="H154" s="93">
        <f t="shared" si="21"/>
        <v>99.3</v>
      </c>
    </row>
    <row r="155" spans="1:8" ht="50.25" customHeight="1" x14ac:dyDescent="0.25">
      <c r="A155" s="16" t="s">
        <v>93</v>
      </c>
      <c r="B155" s="16" t="s">
        <v>100</v>
      </c>
      <c r="C155" s="74">
        <v>920110300</v>
      </c>
      <c r="D155" s="16"/>
      <c r="E155" s="96" t="s">
        <v>687</v>
      </c>
      <c r="F155" s="39">
        <f>F156</f>
        <v>20115.2</v>
      </c>
      <c r="G155" s="39">
        <f>G156</f>
        <v>19978.2</v>
      </c>
      <c r="H155" s="93">
        <f t="shared" si="21"/>
        <v>99.3</v>
      </c>
    </row>
    <row r="156" spans="1:8" ht="39.6" x14ac:dyDescent="0.25">
      <c r="A156" s="16" t="s">
        <v>93</v>
      </c>
      <c r="B156" s="16" t="s">
        <v>100</v>
      </c>
      <c r="C156" s="74">
        <v>920110300</v>
      </c>
      <c r="D156" s="82" t="s">
        <v>205</v>
      </c>
      <c r="E156" s="97" t="s">
        <v>206</v>
      </c>
      <c r="F156" s="39">
        <v>20115.2</v>
      </c>
      <c r="G156" s="39">
        <v>19978.2</v>
      </c>
      <c r="H156" s="93">
        <f t="shared" si="21"/>
        <v>99.3</v>
      </c>
    </row>
    <row r="157" spans="1:8" ht="92.4" x14ac:dyDescent="0.25">
      <c r="A157" s="16" t="s">
        <v>93</v>
      </c>
      <c r="B157" s="16" t="s">
        <v>100</v>
      </c>
      <c r="C157" s="74">
        <v>920123495</v>
      </c>
      <c r="D157" s="82"/>
      <c r="E157" s="54" t="s">
        <v>551</v>
      </c>
      <c r="F157" s="39">
        <f>F158</f>
        <v>2182.4</v>
      </c>
      <c r="G157" s="39">
        <f>G158</f>
        <v>2182.3000000000002</v>
      </c>
      <c r="H157" s="93">
        <f t="shared" si="21"/>
        <v>100</v>
      </c>
    </row>
    <row r="158" spans="1:8" ht="39.6" x14ac:dyDescent="0.25">
      <c r="A158" s="16" t="s">
        <v>93</v>
      </c>
      <c r="B158" s="16" t="s">
        <v>100</v>
      </c>
      <c r="C158" s="74">
        <v>920123495</v>
      </c>
      <c r="D158" s="82" t="s">
        <v>205</v>
      </c>
      <c r="E158" s="97" t="s">
        <v>206</v>
      </c>
      <c r="F158" s="39">
        <f>2116.9+65.5</f>
        <v>2182.4</v>
      </c>
      <c r="G158" s="39">
        <v>2182.3000000000002</v>
      </c>
      <c r="H158" s="93">
        <f t="shared" si="21"/>
        <v>100</v>
      </c>
    </row>
    <row r="159" spans="1:8" ht="28.8" x14ac:dyDescent="0.3">
      <c r="A159" s="30" t="s">
        <v>93</v>
      </c>
      <c r="B159" s="30" t="s">
        <v>98</v>
      </c>
      <c r="C159" s="30"/>
      <c r="D159" s="30"/>
      <c r="E159" s="50" t="s">
        <v>192</v>
      </c>
      <c r="F159" s="40">
        <f>F160+F182</f>
        <v>160642.60000000003</v>
      </c>
      <c r="G159" s="40">
        <f>G160+G182</f>
        <v>117412.3</v>
      </c>
      <c r="H159" s="42">
        <f t="shared" si="21"/>
        <v>73.099999999999994</v>
      </c>
    </row>
    <row r="160" spans="1:8" ht="106.2" x14ac:dyDescent="0.3">
      <c r="A160" s="5" t="s">
        <v>93</v>
      </c>
      <c r="B160" s="5" t="s">
        <v>98</v>
      </c>
      <c r="C160" s="73" t="s">
        <v>68</v>
      </c>
      <c r="D160" s="30"/>
      <c r="E160" s="139" t="s">
        <v>568</v>
      </c>
      <c r="F160" s="95">
        <f>F161</f>
        <v>152644.00000000003</v>
      </c>
      <c r="G160" s="95">
        <f>G161</f>
        <v>109448.8</v>
      </c>
      <c r="H160" s="62">
        <f t="shared" si="21"/>
        <v>71.7</v>
      </c>
    </row>
    <row r="161" spans="1:8" ht="66.599999999999994" x14ac:dyDescent="0.3">
      <c r="A161" s="16" t="s">
        <v>93</v>
      </c>
      <c r="B161" s="16" t="s">
        <v>98</v>
      </c>
      <c r="C161" s="52" t="s">
        <v>69</v>
      </c>
      <c r="D161" s="30"/>
      <c r="E161" s="46" t="s">
        <v>160</v>
      </c>
      <c r="F161" s="92">
        <f>F162+F164+F166+F168+F170+F172+F174+F176+F178+F180</f>
        <v>152644.00000000003</v>
      </c>
      <c r="G161" s="92">
        <f>G162+G164+G166+G168+G170+G172+G174+G176+G178+G180</f>
        <v>109448.8</v>
      </c>
      <c r="H161" s="58">
        <f t="shared" si="21"/>
        <v>71.7</v>
      </c>
    </row>
    <row r="162" spans="1:8" ht="93" x14ac:dyDescent="0.3">
      <c r="A162" s="16" t="s">
        <v>93</v>
      </c>
      <c r="B162" s="16" t="s">
        <v>98</v>
      </c>
      <c r="C162" s="74">
        <v>910123405</v>
      </c>
      <c r="D162" s="30"/>
      <c r="E162" s="96" t="s">
        <v>288</v>
      </c>
      <c r="F162" s="39">
        <f>F163</f>
        <v>15376.7</v>
      </c>
      <c r="G162" s="39">
        <f>G163</f>
        <v>14169.2</v>
      </c>
      <c r="H162" s="93">
        <f t="shared" si="21"/>
        <v>92.1</v>
      </c>
    </row>
    <row r="163" spans="1:8" ht="39.6" x14ac:dyDescent="0.25">
      <c r="A163" s="16" t="s">
        <v>93</v>
      </c>
      <c r="B163" s="16" t="s">
        <v>98</v>
      </c>
      <c r="C163" s="74">
        <v>910123405</v>
      </c>
      <c r="D163" s="82" t="s">
        <v>205</v>
      </c>
      <c r="E163" s="97" t="s">
        <v>206</v>
      </c>
      <c r="F163" s="39">
        <v>15376.7</v>
      </c>
      <c r="G163" s="207">
        <v>14169.2</v>
      </c>
      <c r="H163" s="58">
        <f t="shared" si="21"/>
        <v>92.1</v>
      </c>
    </row>
    <row r="164" spans="1:8" ht="64.5" customHeight="1" x14ac:dyDescent="0.3">
      <c r="A164" s="16" t="s">
        <v>93</v>
      </c>
      <c r="B164" s="16" t="s">
        <v>98</v>
      </c>
      <c r="C164" s="74">
        <v>910110520</v>
      </c>
      <c r="D164" s="30"/>
      <c r="E164" s="96" t="s">
        <v>179</v>
      </c>
      <c r="F164" s="39">
        <f>F165</f>
        <v>20020.599999999999</v>
      </c>
      <c r="G164" s="39">
        <f>G165</f>
        <v>17834.2</v>
      </c>
      <c r="H164" s="93">
        <f t="shared" si="21"/>
        <v>89.1</v>
      </c>
    </row>
    <row r="165" spans="1:8" ht="39.6" x14ac:dyDescent="0.25">
      <c r="A165" s="16" t="s">
        <v>93</v>
      </c>
      <c r="B165" s="16" t="s">
        <v>98</v>
      </c>
      <c r="C165" s="74">
        <v>910110520</v>
      </c>
      <c r="D165" s="82" t="s">
        <v>205</v>
      </c>
      <c r="E165" s="97" t="s">
        <v>206</v>
      </c>
      <c r="F165" s="1">
        <v>20020.599999999999</v>
      </c>
      <c r="G165" s="39">
        <v>17834.2</v>
      </c>
      <c r="H165" s="93">
        <f t="shared" si="21"/>
        <v>89.1</v>
      </c>
    </row>
    <row r="166" spans="1:8" ht="26.4" x14ac:dyDescent="0.25">
      <c r="A166" s="16" t="s">
        <v>93</v>
      </c>
      <c r="B166" s="16" t="s">
        <v>98</v>
      </c>
      <c r="C166" s="74">
        <v>910123410</v>
      </c>
      <c r="D166" s="16"/>
      <c r="E166" s="97" t="s">
        <v>180</v>
      </c>
      <c r="F166" s="39">
        <f>F167</f>
        <v>19002.400000000001</v>
      </c>
      <c r="G166" s="39">
        <f>G167</f>
        <v>17311.8</v>
      </c>
      <c r="H166" s="93">
        <f t="shared" si="21"/>
        <v>91.1</v>
      </c>
    </row>
    <row r="167" spans="1:8" ht="39.6" x14ac:dyDescent="0.25">
      <c r="A167" s="16" t="s">
        <v>93</v>
      </c>
      <c r="B167" s="16" t="s">
        <v>98</v>
      </c>
      <c r="C167" s="74">
        <v>910123410</v>
      </c>
      <c r="D167" s="82" t="s">
        <v>205</v>
      </c>
      <c r="E167" s="97" t="s">
        <v>206</v>
      </c>
      <c r="F167" s="39">
        <f>16457+1413.5+1131.9</f>
        <v>19002.400000000001</v>
      </c>
      <c r="G167" s="207">
        <v>17311.8</v>
      </c>
      <c r="H167" s="93">
        <f t="shared" si="21"/>
        <v>91.1</v>
      </c>
    </row>
    <row r="168" spans="1:8" ht="105.6" x14ac:dyDescent="0.25">
      <c r="A168" s="16" t="s">
        <v>93</v>
      </c>
      <c r="B168" s="16" t="s">
        <v>98</v>
      </c>
      <c r="C168" s="74">
        <v>910123415</v>
      </c>
      <c r="D168" s="82"/>
      <c r="E168" s="128" t="s">
        <v>660</v>
      </c>
      <c r="F168" s="39">
        <f>F169</f>
        <v>2263.4</v>
      </c>
      <c r="G168" s="39">
        <f t="shared" ref="G168" si="24">G169</f>
        <v>944.9</v>
      </c>
      <c r="H168" s="93">
        <f t="shared" si="21"/>
        <v>41.7</v>
      </c>
    </row>
    <row r="169" spans="1:8" ht="39.6" x14ac:dyDescent="0.25">
      <c r="A169" s="16" t="s">
        <v>93</v>
      </c>
      <c r="B169" s="16" t="s">
        <v>98</v>
      </c>
      <c r="C169" s="74">
        <v>910123415</v>
      </c>
      <c r="D169" s="82" t="s">
        <v>205</v>
      </c>
      <c r="E169" s="97" t="s">
        <v>206</v>
      </c>
      <c r="F169" s="39">
        <f>100+380+5000-3566.6+350</f>
        <v>2263.4</v>
      </c>
      <c r="G169" s="207">
        <v>944.9</v>
      </c>
      <c r="H169" s="93">
        <f t="shared" si="21"/>
        <v>41.7</v>
      </c>
    </row>
    <row r="170" spans="1:8" ht="52.8" x14ac:dyDescent="0.25">
      <c r="A170" s="16" t="s">
        <v>93</v>
      </c>
      <c r="B170" s="16" t="s">
        <v>98</v>
      </c>
      <c r="C170" s="74" t="s">
        <v>344</v>
      </c>
      <c r="D170" s="82"/>
      <c r="E170" s="121" t="s">
        <v>343</v>
      </c>
      <c r="F170" s="39">
        <f>F171</f>
        <v>1144.1000000000004</v>
      </c>
      <c r="G170" s="39">
        <f>G171</f>
        <v>551</v>
      </c>
      <c r="H170" s="93">
        <f t="shared" si="21"/>
        <v>48.2</v>
      </c>
    </row>
    <row r="171" spans="1:8" ht="39.6" x14ac:dyDescent="0.25">
      <c r="A171" s="16" t="s">
        <v>93</v>
      </c>
      <c r="B171" s="16" t="s">
        <v>98</v>
      </c>
      <c r="C171" s="74" t="s">
        <v>344</v>
      </c>
      <c r="D171" s="82" t="s">
        <v>205</v>
      </c>
      <c r="E171" s="97" t="s">
        <v>206</v>
      </c>
      <c r="F171" s="39">
        <f>2317.6-1000+3130.1-10.9-3292.7</f>
        <v>1144.1000000000004</v>
      </c>
      <c r="G171" s="39">
        <v>551</v>
      </c>
      <c r="H171" s="93">
        <f t="shared" si="21"/>
        <v>48.2</v>
      </c>
    </row>
    <row r="172" spans="1:8" ht="66" x14ac:dyDescent="0.25">
      <c r="A172" s="16" t="s">
        <v>93</v>
      </c>
      <c r="B172" s="16" t="s">
        <v>98</v>
      </c>
      <c r="C172" s="135" t="s">
        <v>500</v>
      </c>
      <c r="D172" s="82"/>
      <c r="E172" s="121" t="s">
        <v>345</v>
      </c>
      <c r="F172" s="39">
        <f>F173</f>
        <v>7695.6</v>
      </c>
      <c r="G172" s="39">
        <f>G173</f>
        <v>3159.3</v>
      </c>
      <c r="H172" s="93">
        <f t="shared" si="21"/>
        <v>41.1</v>
      </c>
    </row>
    <row r="173" spans="1:8" ht="39.6" x14ac:dyDescent="0.25">
      <c r="A173" s="16" t="s">
        <v>93</v>
      </c>
      <c r="B173" s="16" t="s">
        <v>98</v>
      </c>
      <c r="C173" s="135" t="s">
        <v>500</v>
      </c>
      <c r="D173" s="82" t="s">
        <v>205</v>
      </c>
      <c r="E173" s="97" t="s">
        <v>206</v>
      </c>
      <c r="F173" s="1">
        <f>9270.5-1574.9</f>
        <v>7695.6</v>
      </c>
      <c r="G173" s="39">
        <v>3159.3</v>
      </c>
      <c r="H173" s="93">
        <f t="shared" si="21"/>
        <v>41.1</v>
      </c>
    </row>
    <row r="174" spans="1:8" ht="26.4" x14ac:dyDescent="0.25">
      <c r="A174" s="16" t="s">
        <v>93</v>
      </c>
      <c r="B174" s="16" t="s">
        <v>98</v>
      </c>
      <c r="C174" s="74" t="s">
        <v>340</v>
      </c>
      <c r="D174" s="82"/>
      <c r="E174" s="97" t="s">
        <v>341</v>
      </c>
      <c r="F174" s="39">
        <f>F175</f>
        <v>10850.8</v>
      </c>
      <c r="G174" s="39">
        <f>G175</f>
        <v>4719.5</v>
      </c>
      <c r="H174" s="93">
        <f t="shared" si="21"/>
        <v>43.5</v>
      </c>
    </row>
    <row r="175" spans="1:8" ht="39.6" x14ac:dyDescent="0.25">
      <c r="A175" s="16" t="s">
        <v>93</v>
      </c>
      <c r="B175" s="16" t="s">
        <v>98</v>
      </c>
      <c r="C175" s="74" t="s">
        <v>340</v>
      </c>
      <c r="D175" s="82" t="s">
        <v>205</v>
      </c>
      <c r="E175" s="97" t="s">
        <v>206</v>
      </c>
      <c r="F175" s="39">
        <f>14380.3+396.5-800-5193.4-1842.6+3931.5-21.5</f>
        <v>10850.8</v>
      </c>
      <c r="G175" s="39">
        <v>4719.5</v>
      </c>
      <c r="H175" s="93">
        <f t="shared" si="21"/>
        <v>43.5</v>
      </c>
    </row>
    <row r="176" spans="1:8" ht="26.4" x14ac:dyDescent="0.25">
      <c r="A176" s="16" t="s">
        <v>93</v>
      </c>
      <c r="B176" s="16" t="s">
        <v>98</v>
      </c>
      <c r="C176" s="137" t="s">
        <v>501</v>
      </c>
      <c r="D176" s="82"/>
      <c r="E176" s="97" t="s">
        <v>342</v>
      </c>
      <c r="F176" s="39">
        <f>F177</f>
        <v>57521.3</v>
      </c>
      <c r="G176" s="39">
        <f>G177</f>
        <v>37525.699999999997</v>
      </c>
      <c r="H176" s="62">
        <f t="shared" si="21"/>
        <v>65.2</v>
      </c>
    </row>
    <row r="177" spans="1:8" ht="39.6" x14ac:dyDescent="0.25">
      <c r="A177" s="16" t="s">
        <v>93</v>
      </c>
      <c r="B177" s="16" t="s">
        <v>98</v>
      </c>
      <c r="C177" s="137" t="s">
        <v>501</v>
      </c>
      <c r="D177" s="82" t="s">
        <v>205</v>
      </c>
      <c r="E177" s="97" t="s">
        <v>206</v>
      </c>
      <c r="F177" s="39">
        <v>57521.3</v>
      </c>
      <c r="G177" s="207">
        <v>37525.699999999997</v>
      </c>
      <c r="H177" s="58">
        <f t="shared" si="21"/>
        <v>65.2</v>
      </c>
    </row>
    <row r="178" spans="1:8" ht="26.4" x14ac:dyDescent="0.25">
      <c r="A178" s="16" t="s">
        <v>93</v>
      </c>
      <c r="B178" s="16" t="s">
        <v>98</v>
      </c>
      <c r="C178" s="74">
        <v>910123425</v>
      </c>
      <c r="D178" s="82"/>
      <c r="E178" s="97" t="s">
        <v>369</v>
      </c>
      <c r="F178" s="39">
        <f>F179</f>
        <v>17615.100000000002</v>
      </c>
      <c r="G178" s="39">
        <f>G179</f>
        <v>12116.2</v>
      </c>
      <c r="H178" s="93">
        <f t="shared" si="21"/>
        <v>68.8</v>
      </c>
    </row>
    <row r="179" spans="1:8" ht="39.6" x14ac:dyDescent="0.25">
      <c r="A179" s="16" t="s">
        <v>93</v>
      </c>
      <c r="B179" s="16" t="s">
        <v>98</v>
      </c>
      <c r="C179" s="74">
        <v>910123425</v>
      </c>
      <c r="D179" s="82" t="s">
        <v>205</v>
      </c>
      <c r="E179" s="97" t="s">
        <v>206</v>
      </c>
      <c r="F179" s="39">
        <f>1590+1493.2+1306.4+2176+2289.3+8760.2</f>
        <v>17615.100000000002</v>
      </c>
      <c r="G179" s="207">
        <v>12116.2</v>
      </c>
      <c r="H179" s="58">
        <f t="shared" si="21"/>
        <v>68.8</v>
      </c>
    </row>
    <row r="180" spans="1:8" x14ac:dyDescent="0.25">
      <c r="A180" s="16" t="s">
        <v>93</v>
      </c>
      <c r="B180" s="16" t="s">
        <v>98</v>
      </c>
      <c r="C180" s="74">
        <v>910123430</v>
      </c>
      <c r="D180" s="82"/>
      <c r="E180" s="97" t="s">
        <v>600</v>
      </c>
      <c r="F180" s="39">
        <f>F181</f>
        <v>1154</v>
      </c>
      <c r="G180" s="39">
        <f>G181</f>
        <v>1117</v>
      </c>
      <c r="H180" s="93">
        <f t="shared" si="21"/>
        <v>96.8</v>
      </c>
    </row>
    <row r="181" spans="1:8" ht="39.6" x14ac:dyDescent="0.25">
      <c r="A181" s="16" t="s">
        <v>93</v>
      </c>
      <c r="B181" s="16" t="s">
        <v>98</v>
      </c>
      <c r="C181" s="74">
        <v>910123430</v>
      </c>
      <c r="D181" s="82" t="s">
        <v>205</v>
      </c>
      <c r="E181" s="97" t="s">
        <v>206</v>
      </c>
      <c r="F181" s="39">
        <f>817+337</f>
        <v>1154</v>
      </c>
      <c r="G181" s="208">
        <v>1117</v>
      </c>
      <c r="H181" s="93">
        <f t="shared" si="21"/>
        <v>96.8</v>
      </c>
    </row>
    <row r="182" spans="1:8" ht="88.5" customHeight="1" x14ac:dyDescent="0.25">
      <c r="A182" s="73" t="s">
        <v>93</v>
      </c>
      <c r="B182" s="73" t="s">
        <v>98</v>
      </c>
      <c r="C182" s="73" t="s">
        <v>221</v>
      </c>
      <c r="D182" s="16"/>
      <c r="E182" s="64" t="s">
        <v>575</v>
      </c>
      <c r="F182" s="95">
        <f>F183</f>
        <v>7998.6</v>
      </c>
      <c r="G182" s="95">
        <f>G183</f>
        <v>7963.5</v>
      </c>
      <c r="H182" s="62">
        <f t="shared" si="21"/>
        <v>99.6</v>
      </c>
    </row>
    <row r="183" spans="1:8" ht="52.8" x14ac:dyDescent="0.25">
      <c r="A183" s="21" t="s">
        <v>93</v>
      </c>
      <c r="B183" s="21" t="s">
        <v>98</v>
      </c>
      <c r="C183" s="52" t="s">
        <v>222</v>
      </c>
      <c r="D183" s="16"/>
      <c r="E183" s="48" t="s">
        <v>223</v>
      </c>
      <c r="F183" s="58">
        <f>F184+F186+F188+F190+F192+F194+F196+F198</f>
        <v>7998.6</v>
      </c>
      <c r="G183" s="58">
        <f>G184+G186+G188+G190+G192+G194+G196+G198</f>
        <v>7963.5</v>
      </c>
      <c r="H183" s="58">
        <f t="shared" si="21"/>
        <v>99.6</v>
      </c>
    </row>
    <row r="184" spans="1:8" ht="39.6" x14ac:dyDescent="0.25">
      <c r="A184" s="21" t="s">
        <v>93</v>
      </c>
      <c r="B184" s="21" t="s">
        <v>98</v>
      </c>
      <c r="C184" s="21" t="s">
        <v>523</v>
      </c>
      <c r="D184" s="82"/>
      <c r="E184" s="97" t="s">
        <v>337</v>
      </c>
      <c r="F184" s="41">
        <f>F185</f>
        <v>2442.6999999999998</v>
      </c>
      <c r="G184" s="41">
        <f>G185</f>
        <v>2442.6999999999998</v>
      </c>
      <c r="H184" s="93">
        <f t="shared" si="21"/>
        <v>100</v>
      </c>
    </row>
    <row r="185" spans="1:8" ht="39.6" x14ac:dyDescent="0.25">
      <c r="A185" s="21" t="s">
        <v>93</v>
      </c>
      <c r="B185" s="21" t="s">
        <v>98</v>
      </c>
      <c r="C185" s="21" t="s">
        <v>523</v>
      </c>
      <c r="D185" s="82" t="s">
        <v>205</v>
      </c>
      <c r="E185" s="97" t="s">
        <v>206</v>
      </c>
      <c r="F185" s="41">
        <f>2972.1-529.4</f>
        <v>2442.6999999999998</v>
      </c>
      <c r="G185" s="41">
        <v>2442.6999999999998</v>
      </c>
      <c r="H185" s="93">
        <f t="shared" si="21"/>
        <v>100</v>
      </c>
    </row>
    <row r="186" spans="1:8" ht="26.4" x14ac:dyDescent="0.25">
      <c r="A186" s="21" t="s">
        <v>93</v>
      </c>
      <c r="B186" s="21" t="s">
        <v>98</v>
      </c>
      <c r="C186" s="21" t="s">
        <v>525</v>
      </c>
      <c r="D186" s="82"/>
      <c r="E186" s="97" t="s">
        <v>524</v>
      </c>
      <c r="F186" s="41">
        <f>F187</f>
        <v>529.4</v>
      </c>
      <c r="G186" s="41">
        <f>G187</f>
        <v>529.4</v>
      </c>
      <c r="H186" s="93">
        <f t="shared" si="21"/>
        <v>100</v>
      </c>
    </row>
    <row r="187" spans="1:8" ht="39.6" x14ac:dyDescent="0.25">
      <c r="A187" s="21" t="s">
        <v>93</v>
      </c>
      <c r="B187" s="21" t="s">
        <v>98</v>
      </c>
      <c r="C187" s="21" t="s">
        <v>525</v>
      </c>
      <c r="D187" s="82" t="s">
        <v>205</v>
      </c>
      <c r="E187" s="97" t="s">
        <v>206</v>
      </c>
      <c r="F187" s="41">
        <v>529.4</v>
      </c>
      <c r="G187" s="41">
        <v>529.4</v>
      </c>
      <c r="H187" s="93">
        <f t="shared" si="21"/>
        <v>100</v>
      </c>
    </row>
    <row r="188" spans="1:8" ht="26.4" x14ac:dyDescent="0.25">
      <c r="A188" s="21" t="s">
        <v>93</v>
      </c>
      <c r="B188" s="21" t="s">
        <v>98</v>
      </c>
      <c r="C188" s="21" t="s">
        <v>526</v>
      </c>
      <c r="D188" s="16"/>
      <c r="E188" s="97" t="s">
        <v>326</v>
      </c>
      <c r="F188" s="41">
        <f>F189</f>
        <v>385</v>
      </c>
      <c r="G188" s="41">
        <f>G189</f>
        <v>350</v>
      </c>
      <c r="H188" s="93">
        <f t="shared" si="21"/>
        <v>90.9</v>
      </c>
    </row>
    <row r="189" spans="1:8" ht="39.6" x14ac:dyDescent="0.25">
      <c r="A189" s="21" t="s">
        <v>93</v>
      </c>
      <c r="B189" s="21" t="s">
        <v>98</v>
      </c>
      <c r="C189" s="21" t="s">
        <v>526</v>
      </c>
      <c r="D189" s="82" t="s">
        <v>205</v>
      </c>
      <c r="E189" s="97" t="s">
        <v>206</v>
      </c>
      <c r="F189" s="41">
        <f>370+31-16</f>
        <v>385</v>
      </c>
      <c r="G189" s="41">
        <v>350</v>
      </c>
      <c r="H189" s="93">
        <f t="shared" si="21"/>
        <v>90.9</v>
      </c>
    </row>
    <row r="190" spans="1:8" ht="39.6" x14ac:dyDescent="0.25">
      <c r="A190" s="21" t="s">
        <v>93</v>
      </c>
      <c r="B190" s="21" t="s">
        <v>98</v>
      </c>
      <c r="C190" s="21" t="s">
        <v>585</v>
      </c>
      <c r="D190" s="82"/>
      <c r="E190" s="97" t="s">
        <v>584</v>
      </c>
      <c r="F190" s="41">
        <f>F191</f>
        <v>178</v>
      </c>
      <c r="G190" s="41">
        <f t="shared" ref="G190" si="25">G191</f>
        <v>178</v>
      </c>
      <c r="H190" s="93">
        <f t="shared" si="21"/>
        <v>100</v>
      </c>
    </row>
    <row r="191" spans="1:8" ht="39.6" x14ac:dyDescent="0.25">
      <c r="A191" s="21" t="s">
        <v>93</v>
      </c>
      <c r="B191" s="21" t="s">
        <v>98</v>
      </c>
      <c r="C191" s="21" t="s">
        <v>585</v>
      </c>
      <c r="D191" s="82" t="s">
        <v>205</v>
      </c>
      <c r="E191" s="97" t="s">
        <v>206</v>
      </c>
      <c r="F191" s="41">
        <v>178</v>
      </c>
      <c r="G191" s="41">
        <v>178</v>
      </c>
      <c r="H191" s="93">
        <f t="shared" si="21"/>
        <v>100</v>
      </c>
    </row>
    <row r="192" spans="1:8" ht="26.4" x14ac:dyDescent="0.25">
      <c r="A192" s="21" t="s">
        <v>93</v>
      </c>
      <c r="B192" s="21" t="s">
        <v>98</v>
      </c>
      <c r="C192" s="21" t="s">
        <v>587</v>
      </c>
      <c r="D192" s="82"/>
      <c r="E192" s="97" t="s">
        <v>588</v>
      </c>
      <c r="F192" s="41">
        <f>F193</f>
        <v>892.4</v>
      </c>
      <c r="G192" s="41">
        <f t="shared" ref="G192" si="26">G193</f>
        <v>892.4</v>
      </c>
      <c r="H192" s="93">
        <f t="shared" si="21"/>
        <v>100</v>
      </c>
    </row>
    <row r="193" spans="1:8" ht="39.6" x14ac:dyDescent="0.25">
      <c r="A193" s="21" t="s">
        <v>93</v>
      </c>
      <c r="B193" s="21" t="s">
        <v>98</v>
      </c>
      <c r="C193" s="21" t="s">
        <v>587</v>
      </c>
      <c r="D193" s="82" t="s">
        <v>205</v>
      </c>
      <c r="E193" s="97" t="s">
        <v>206</v>
      </c>
      <c r="F193" s="41">
        <f>990-45.4-52.2</f>
        <v>892.4</v>
      </c>
      <c r="G193" s="41">
        <v>892.4</v>
      </c>
      <c r="H193" s="93">
        <f t="shared" si="21"/>
        <v>100</v>
      </c>
    </row>
    <row r="194" spans="1:8" x14ac:dyDescent="0.25">
      <c r="A194" s="21" t="s">
        <v>93</v>
      </c>
      <c r="B194" s="21" t="s">
        <v>98</v>
      </c>
      <c r="C194" s="21" t="s">
        <v>633</v>
      </c>
      <c r="D194" s="82"/>
      <c r="E194" s="97" t="s">
        <v>586</v>
      </c>
      <c r="F194" s="41">
        <f>F195</f>
        <v>499</v>
      </c>
      <c r="G194" s="41">
        <f t="shared" ref="G194" si="27">G195</f>
        <v>499</v>
      </c>
      <c r="H194" s="93">
        <f t="shared" si="21"/>
        <v>100</v>
      </c>
    </row>
    <row r="195" spans="1:8" ht="39.6" x14ac:dyDescent="0.25">
      <c r="A195" s="21" t="s">
        <v>93</v>
      </c>
      <c r="B195" s="21" t="s">
        <v>98</v>
      </c>
      <c r="C195" s="21" t="s">
        <v>633</v>
      </c>
      <c r="D195" s="82" t="s">
        <v>205</v>
      </c>
      <c r="E195" s="97" t="s">
        <v>206</v>
      </c>
      <c r="F195" s="41">
        <f>600-98.6-2.4</f>
        <v>499</v>
      </c>
      <c r="G195" s="41">
        <v>499</v>
      </c>
      <c r="H195" s="93">
        <f t="shared" si="21"/>
        <v>100</v>
      </c>
    </row>
    <row r="196" spans="1:8" ht="40.5" customHeight="1" x14ac:dyDescent="0.25">
      <c r="A196" s="21" t="s">
        <v>93</v>
      </c>
      <c r="B196" s="21" t="s">
        <v>98</v>
      </c>
      <c r="C196" s="51" t="s">
        <v>351</v>
      </c>
      <c r="D196" s="82"/>
      <c r="E196" s="97" t="s">
        <v>348</v>
      </c>
      <c r="F196" s="41">
        <f>F197</f>
        <v>307.2</v>
      </c>
      <c r="G196" s="41">
        <f>G197</f>
        <v>307.2</v>
      </c>
      <c r="H196" s="93">
        <f t="shared" si="21"/>
        <v>100</v>
      </c>
    </row>
    <row r="197" spans="1:8" ht="39.6" x14ac:dyDescent="0.25">
      <c r="A197" s="21" t="s">
        <v>93</v>
      </c>
      <c r="B197" s="21" t="s">
        <v>98</v>
      </c>
      <c r="C197" s="51" t="s">
        <v>351</v>
      </c>
      <c r="D197" s="82" t="s">
        <v>205</v>
      </c>
      <c r="E197" s="97" t="s">
        <v>206</v>
      </c>
      <c r="F197" s="39">
        <f>891.9-495.5-89.2</f>
        <v>307.2</v>
      </c>
      <c r="G197" s="41">
        <v>307.2</v>
      </c>
      <c r="H197" s="93">
        <f t="shared" ref="H197:H250" si="28">ROUND((G197/F197*100),1)</f>
        <v>100</v>
      </c>
    </row>
    <row r="198" spans="1:8" ht="51.75" customHeight="1" x14ac:dyDescent="0.25">
      <c r="A198" s="21" t="s">
        <v>93</v>
      </c>
      <c r="B198" s="21" t="s">
        <v>98</v>
      </c>
      <c r="C198" s="51" t="s">
        <v>352</v>
      </c>
      <c r="D198" s="82"/>
      <c r="E198" s="97" t="s">
        <v>346</v>
      </c>
      <c r="F198" s="41">
        <f>F199</f>
        <v>2764.9</v>
      </c>
      <c r="G198" s="41">
        <f>G199</f>
        <v>2764.8</v>
      </c>
      <c r="H198" s="93">
        <f t="shared" si="28"/>
        <v>100</v>
      </c>
    </row>
    <row r="199" spans="1:8" ht="39.6" x14ac:dyDescent="0.25">
      <c r="A199" s="21" t="s">
        <v>93</v>
      </c>
      <c r="B199" s="21" t="s">
        <v>98</v>
      </c>
      <c r="C199" s="51" t="s">
        <v>352</v>
      </c>
      <c r="D199" s="82" t="s">
        <v>205</v>
      </c>
      <c r="E199" s="97" t="s">
        <v>206</v>
      </c>
      <c r="F199" s="41">
        <f>3567.5-802.6</f>
        <v>2764.9</v>
      </c>
      <c r="G199" s="41">
        <v>2764.8</v>
      </c>
      <c r="H199" s="93">
        <f t="shared" si="28"/>
        <v>100</v>
      </c>
    </row>
    <row r="200" spans="1:8" ht="27" x14ac:dyDescent="0.3">
      <c r="A200" s="21" t="s">
        <v>93</v>
      </c>
      <c r="B200" s="21" t="s">
        <v>121</v>
      </c>
      <c r="C200" s="30"/>
      <c r="D200" s="30"/>
      <c r="E200" s="46" t="s">
        <v>4</v>
      </c>
      <c r="F200" s="40">
        <f>F201+F210+F226</f>
        <v>3165.7</v>
      </c>
      <c r="G200" s="40">
        <f>G201+G210+G226</f>
        <v>3165.7</v>
      </c>
      <c r="H200" s="42">
        <f t="shared" si="28"/>
        <v>100</v>
      </c>
    </row>
    <row r="201" spans="1:8" ht="92.4" x14ac:dyDescent="0.25">
      <c r="A201" s="5" t="s">
        <v>93</v>
      </c>
      <c r="B201" s="5" t="s">
        <v>121</v>
      </c>
      <c r="C201" s="73" t="s">
        <v>70</v>
      </c>
      <c r="D201" s="16"/>
      <c r="E201" s="140" t="s">
        <v>564</v>
      </c>
      <c r="F201" s="95">
        <f>F202</f>
        <v>421.70000000000005</v>
      </c>
      <c r="G201" s="95">
        <f>G202</f>
        <v>421.70000000000005</v>
      </c>
      <c r="H201" s="62">
        <f t="shared" si="28"/>
        <v>100</v>
      </c>
    </row>
    <row r="202" spans="1:8" ht="39.6" x14ac:dyDescent="0.25">
      <c r="A202" s="16" t="s">
        <v>93</v>
      </c>
      <c r="B202" s="16" t="s">
        <v>121</v>
      </c>
      <c r="C202" s="52" t="s">
        <v>158</v>
      </c>
      <c r="D202" s="16"/>
      <c r="E202" s="48" t="s">
        <v>157</v>
      </c>
      <c r="F202" s="41">
        <f>F203+F206+F208</f>
        <v>421.70000000000005</v>
      </c>
      <c r="G202" s="41">
        <f>G203+G206+G208</f>
        <v>421.70000000000005</v>
      </c>
      <c r="H202" s="58">
        <f t="shared" si="28"/>
        <v>100</v>
      </c>
    </row>
    <row r="203" spans="1:8" ht="53.4" x14ac:dyDescent="0.3">
      <c r="A203" s="16" t="s">
        <v>93</v>
      </c>
      <c r="B203" s="16" t="s">
        <v>121</v>
      </c>
      <c r="C203" s="21" t="s">
        <v>455</v>
      </c>
      <c r="D203" s="30"/>
      <c r="E203" s="96" t="s">
        <v>159</v>
      </c>
      <c r="F203" s="41">
        <f>SUM(F204:F205)</f>
        <v>180.5</v>
      </c>
      <c r="G203" s="41">
        <f>SUM(G204:G205)</f>
        <v>180.5</v>
      </c>
      <c r="H203" s="93">
        <f t="shared" si="28"/>
        <v>100</v>
      </c>
    </row>
    <row r="204" spans="1:8" ht="39.6" x14ac:dyDescent="0.25">
      <c r="A204" s="16" t="s">
        <v>93</v>
      </c>
      <c r="B204" s="16" t="s">
        <v>121</v>
      </c>
      <c r="C204" s="21" t="s">
        <v>455</v>
      </c>
      <c r="D204" s="82" t="s">
        <v>205</v>
      </c>
      <c r="E204" s="97" t="s">
        <v>206</v>
      </c>
      <c r="F204" s="39">
        <f>164+1.1</f>
        <v>165.1</v>
      </c>
      <c r="G204" s="39">
        <f>164+1.1</f>
        <v>165.1</v>
      </c>
      <c r="H204" s="93">
        <f t="shared" si="28"/>
        <v>100</v>
      </c>
    </row>
    <row r="205" spans="1:8" x14ac:dyDescent="0.25">
      <c r="A205" s="16" t="s">
        <v>93</v>
      </c>
      <c r="B205" s="16" t="s">
        <v>121</v>
      </c>
      <c r="C205" s="21" t="s">
        <v>455</v>
      </c>
      <c r="D205" s="82" t="s">
        <v>652</v>
      </c>
      <c r="E205" s="97" t="s">
        <v>653</v>
      </c>
      <c r="F205" s="41">
        <v>15.4</v>
      </c>
      <c r="G205" s="41">
        <v>15.4</v>
      </c>
      <c r="H205" s="93">
        <f t="shared" si="28"/>
        <v>100</v>
      </c>
    </row>
    <row r="206" spans="1:8" ht="40.200000000000003" x14ac:dyDescent="0.3">
      <c r="A206" s="16" t="s">
        <v>93</v>
      </c>
      <c r="B206" s="16" t="s">
        <v>121</v>
      </c>
      <c r="C206" s="82" t="s">
        <v>456</v>
      </c>
      <c r="D206" s="30"/>
      <c r="E206" s="96" t="s">
        <v>162</v>
      </c>
      <c r="F206" s="41">
        <f>F207</f>
        <v>27.9</v>
      </c>
      <c r="G206" s="41">
        <f t="shared" ref="G206" si="29">G207</f>
        <v>27.9</v>
      </c>
      <c r="H206" s="93">
        <f t="shared" si="28"/>
        <v>100</v>
      </c>
    </row>
    <row r="207" spans="1:8" ht="39.6" x14ac:dyDescent="0.25">
      <c r="A207" s="16" t="s">
        <v>93</v>
      </c>
      <c r="B207" s="16" t="s">
        <v>121</v>
      </c>
      <c r="C207" s="82" t="s">
        <v>456</v>
      </c>
      <c r="D207" s="82" t="s">
        <v>205</v>
      </c>
      <c r="E207" s="97" t="s">
        <v>206</v>
      </c>
      <c r="F207" s="41">
        <f>36-8.1</f>
        <v>27.9</v>
      </c>
      <c r="G207" s="41">
        <f>36-8.1</f>
        <v>27.9</v>
      </c>
      <c r="H207" s="93">
        <f t="shared" si="28"/>
        <v>100</v>
      </c>
    </row>
    <row r="208" spans="1:8" ht="66" x14ac:dyDescent="0.25">
      <c r="A208" s="16" t="s">
        <v>93</v>
      </c>
      <c r="B208" s="16" t="s">
        <v>121</v>
      </c>
      <c r="C208" s="82" t="s">
        <v>599</v>
      </c>
      <c r="D208" s="82"/>
      <c r="E208" s="97" t="s">
        <v>603</v>
      </c>
      <c r="F208" s="41">
        <f>F209</f>
        <v>213.3</v>
      </c>
      <c r="G208" s="41">
        <f t="shared" ref="G208" si="30">G209</f>
        <v>213.3</v>
      </c>
      <c r="H208" s="93">
        <f t="shared" si="28"/>
        <v>100</v>
      </c>
    </row>
    <row r="209" spans="1:8" ht="39.6" x14ac:dyDescent="0.25">
      <c r="A209" s="16" t="s">
        <v>93</v>
      </c>
      <c r="B209" s="16" t="s">
        <v>121</v>
      </c>
      <c r="C209" s="82" t="s">
        <v>599</v>
      </c>
      <c r="D209" s="82" t="s">
        <v>205</v>
      </c>
      <c r="E209" s="97" t="s">
        <v>206</v>
      </c>
      <c r="F209" s="41">
        <f>250-43.7+7</f>
        <v>213.3</v>
      </c>
      <c r="G209" s="41">
        <f>250-43.7+7</f>
        <v>213.3</v>
      </c>
      <c r="H209" s="93">
        <f t="shared" si="28"/>
        <v>100</v>
      </c>
    </row>
    <row r="210" spans="1:8" ht="92.4" x14ac:dyDescent="0.25">
      <c r="A210" s="5" t="s">
        <v>93</v>
      </c>
      <c r="B210" s="5" t="s">
        <v>121</v>
      </c>
      <c r="C210" s="76">
        <v>400000000</v>
      </c>
      <c r="D210" s="16"/>
      <c r="E210" s="139" t="s">
        <v>563</v>
      </c>
      <c r="F210" s="95">
        <f>F211</f>
        <v>1387.6</v>
      </c>
      <c r="G210" s="95">
        <f>G211</f>
        <v>1387.6</v>
      </c>
      <c r="H210" s="62">
        <f t="shared" si="28"/>
        <v>100</v>
      </c>
    </row>
    <row r="211" spans="1:8" ht="50.25" customHeight="1" x14ac:dyDescent="0.3">
      <c r="A211" s="47" t="s">
        <v>93</v>
      </c>
      <c r="B211" s="47" t="s">
        <v>121</v>
      </c>
      <c r="C211" s="75">
        <v>410000000</v>
      </c>
      <c r="D211" s="30"/>
      <c r="E211" s="46" t="s">
        <v>457</v>
      </c>
      <c r="F211" s="92">
        <f>F212+F214+F216+F218+F220+F222+F224</f>
        <v>1387.6</v>
      </c>
      <c r="G211" s="92">
        <f>G212+G214+G216+G218+G220+G222+G224</f>
        <v>1387.6</v>
      </c>
      <c r="H211" s="58">
        <f t="shared" si="28"/>
        <v>100</v>
      </c>
    </row>
    <row r="212" spans="1:8" ht="79.2" x14ac:dyDescent="0.25">
      <c r="A212" s="16" t="s">
        <v>93</v>
      </c>
      <c r="B212" s="16" t="s">
        <v>121</v>
      </c>
      <c r="C212" s="133" t="s">
        <v>627</v>
      </c>
      <c r="D212" s="82"/>
      <c r="E212" s="97" t="s">
        <v>578</v>
      </c>
      <c r="F212" s="39">
        <f t="shared" ref="F212:G212" si="31">F213</f>
        <v>75.2</v>
      </c>
      <c r="G212" s="39">
        <f t="shared" si="31"/>
        <v>75.2</v>
      </c>
      <c r="H212" s="93">
        <f t="shared" si="28"/>
        <v>100</v>
      </c>
    </row>
    <row r="213" spans="1:8" ht="39.6" x14ac:dyDescent="0.25">
      <c r="A213" s="16" t="s">
        <v>93</v>
      </c>
      <c r="B213" s="16" t="s">
        <v>121</v>
      </c>
      <c r="C213" s="133" t="s">
        <v>627</v>
      </c>
      <c r="D213" s="82" t="s">
        <v>205</v>
      </c>
      <c r="E213" s="97" t="s">
        <v>206</v>
      </c>
      <c r="F213" s="39">
        <f>50+5+20.2</f>
        <v>75.2</v>
      </c>
      <c r="G213" s="39">
        <f>50+5+20.2</f>
        <v>75.2</v>
      </c>
      <c r="H213" s="93">
        <f t="shared" si="28"/>
        <v>100</v>
      </c>
    </row>
    <row r="214" spans="1:8" ht="26.4" x14ac:dyDescent="0.25">
      <c r="A214" s="16" t="s">
        <v>93</v>
      </c>
      <c r="B214" s="16" t="s">
        <v>121</v>
      </c>
      <c r="C214" s="133" t="s">
        <v>626</v>
      </c>
      <c r="D214" s="82"/>
      <c r="E214" s="97" t="s">
        <v>459</v>
      </c>
      <c r="F214" s="39">
        <f>F215</f>
        <v>30</v>
      </c>
      <c r="G214" s="39">
        <f>G215</f>
        <v>30</v>
      </c>
      <c r="H214" s="93">
        <f t="shared" si="28"/>
        <v>100</v>
      </c>
    </row>
    <row r="215" spans="1:8" ht="39.6" x14ac:dyDescent="0.25">
      <c r="A215" s="16" t="s">
        <v>93</v>
      </c>
      <c r="B215" s="16" t="s">
        <v>121</v>
      </c>
      <c r="C215" s="133" t="s">
        <v>626</v>
      </c>
      <c r="D215" s="82" t="s">
        <v>205</v>
      </c>
      <c r="E215" s="97" t="s">
        <v>206</v>
      </c>
      <c r="F215" s="39">
        <v>30</v>
      </c>
      <c r="G215" s="39">
        <v>30</v>
      </c>
      <c r="H215" s="93">
        <f t="shared" si="28"/>
        <v>100</v>
      </c>
    </row>
    <row r="216" spans="1:8" ht="40.5" customHeight="1" x14ac:dyDescent="0.25">
      <c r="A216" s="16" t="s">
        <v>93</v>
      </c>
      <c r="B216" s="16" t="s">
        <v>121</v>
      </c>
      <c r="C216" s="133" t="s">
        <v>625</v>
      </c>
      <c r="D216" s="82"/>
      <c r="E216" s="97" t="s">
        <v>579</v>
      </c>
      <c r="F216" s="39">
        <f>F217</f>
        <v>82.5</v>
      </c>
      <c r="G216" s="39">
        <f t="shared" ref="G216" si="32">G217</f>
        <v>82.5</v>
      </c>
      <c r="H216" s="93">
        <f t="shared" si="28"/>
        <v>100</v>
      </c>
    </row>
    <row r="217" spans="1:8" ht="39.6" x14ac:dyDescent="0.25">
      <c r="A217" s="16" t="s">
        <v>93</v>
      </c>
      <c r="B217" s="16" t="s">
        <v>121</v>
      </c>
      <c r="C217" s="133" t="s">
        <v>625</v>
      </c>
      <c r="D217" s="82" t="s">
        <v>205</v>
      </c>
      <c r="E217" s="97" t="s">
        <v>206</v>
      </c>
      <c r="F217" s="39">
        <v>82.5</v>
      </c>
      <c r="G217" s="39">
        <v>82.5</v>
      </c>
      <c r="H217" s="93">
        <f t="shared" si="28"/>
        <v>100</v>
      </c>
    </row>
    <row r="218" spans="1:8" ht="66" x14ac:dyDescent="0.25">
      <c r="A218" s="16" t="s">
        <v>93</v>
      </c>
      <c r="B218" s="16" t="s">
        <v>121</v>
      </c>
      <c r="C218" s="133" t="s">
        <v>628</v>
      </c>
      <c r="D218" s="82"/>
      <c r="E218" s="97" t="s">
        <v>580</v>
      </c>
      <c r="F218" s="39">
        <f>F219</f>
        <v>150</v>
      </c>
      <c r="G218" s="39">
        <f t="shared" ref="G218" si="33">G219</f>
        <v>150</v>
      </c>
      <c r="H218" s="93">
        <f t="shared" si="28"/>
        <v>100</v>
      </c>
    </row>
    <row r="219" spans="1:8" ht="66" x14ac:dyDescent="0.25">
      <c r="A219" s="16" t="s">
        <v>93</v>
      </c>
      <c r="B219" s="16" t="s">
        <v>121</v>
      </c>
      <c r="C219" s="133" t="s">
        <v>628</v>
      </c>
      <c r="D219" s="16" t="s">
        <v>12</v>
      </c>
      <c r="E219" s="97" t="s">
        <v>361</v>
      </c>
      <c r="F219" s="39">
        <v>150</v>
      </c>
      <c r="G219" s="39">
        <v>150</v>
      </c>
      <c r="H219" s="93">
        <f t="shared" si="28"/>
        <v>100</v>
      </c>
    </row>
    <row r="220" spans="1:8" ht="105.75" customHeight="1" x14ac:dyDescent="0.25">
      <c r="A220" s="16" t="s">
        <v>93</v>
      </c>
      <c r="B220" s="16" t="s">
        <v>121</v>
      </c>
      <c r="C220" s="133" t="s">
        <v>629</v>
      </c>
      <c r="D220" s="82"/>
      <c r="E220" s="97" t="s">
        <v>464</v>
      </c>
      <c r="F220" s="39">
        <f>F221</f>
        <v>80</v>
      </c>
      <c r="G220" s="39">
        <f t="shared" ref="G220" si="34">G221</f>
        <v>80</v>
      </c>
      <c r="H220" s="93">
        <f t="shared" si="28"/>
        <v>100</v>
      </c>
    </row>
    <row r="221" spans="1:8" ht="66" x14ac:dyDescent="0.25">
      <c r="A221" s="16" t="s">
        <v>93</v>
      </c>
      <c r="B221" s="16" t="s">
        <v>121</v>
      </c>
      <c r="C221" s="133" t="s">
        <v>629</v>
      </c>
      <c r="D221" s="16" t="s">
        <v>12</v>
      </c>
      <c r="E221" s="97" t="s">
        <v>361</v>
      </c>
      <c r="F221" s="39">
        <v>80</v>
      </c>
      <c r="G221" s="39">
        <v>80</v>
      </c>
      <c r="H221" s="93">
        <f t="shared" si="28"/>
        <v>100</v>
      </c>
    </row>
    <row r="222" spans="1:8" ht="105.6" x14ac:dyDescent="0.25">
      <c r="A222" s="16" t="s">
        <v>93</v>
      </c>
      <c r="B222" s="16" t="s">
        <v>121</v>
      </c>
      <c r="C222" s="133" t="s">
        <v>630</v>
      </c>
      <c r="D222" s="82"/>
      <c r="E222" s="97" t="s">
        <v>465</v>
      </c>
      <c r="F222" s="39">
        <f>F223</f>
        <v>700</v>
      </c>
      <c r="G222" s="39">
        <f t="shared" ref="G222" si="35">G223</f>
        <v>700</v>
      </c>
      <c r="H222" s="93">
        <f t="shared" si="28"/>
        <v>100</v>
      </c>
    </row>
    <row r="223" spans="1:8" ht="66" x14ac:dyDescent="0.25">
      <c r="A223" s="16" t="s">
        <v>93</v>
      </c>
      <c r="B223" s="16" t="s">
        <v>121</v>
      </c>
      <c r="C223" s="133" t="s">
        <v>630</v>
      </c>
      <c r="D223" s="16" t="s">
        <v>12</v>
      </c>
      <c r="E223" s="97" t="s">
        <v>361</v>
      </c>
      <c r="F223" s="39">
        <v>700</v>
      </c>
      <c r="G223" s="39">
        <v>700</v>
      </c>
      <c r="H223" s="93">
        <f t="shared" si="28"/>
        <v>100</v>
      </c>
    </row>
    <row r="224" spans="1:8" ht="105.6" x14ac:dyDescent="0.25">
      <c r="A224" s="16" t="s">
        <v>93</v>
      </c>
      <c r="B224" s="16" t="s">
        <v>121</v>
      </c>
      <c r="C224" s="133" t="s">
        <v>631</v>
      </c>
      <c r="D224" s="16"/>
      <c r="E224" s="97" t="s">
        <v>581</v>
      </c>
      <c r="F224" s="39">
        <f>F225</f>
        <v>269.89999999999998</v>
      </c>
      <c r="G224" s="39">
        <f t="shared" ref="G224" si="36">G225</f>
        <v>269.89999999999998</v>
      </c>
      <c r="H224" s="93">
        <f t="shared" si="28"/>
        <v>100</v>
      </c>
    </row>
    <row r="225" spans="1:8" ht="66" x14ac:dyDescent="0.25">
      <c r="A225" s="16" t="s">
        <v>93</v>
      </c>
      <c r="B225" s="16" t="s">
        <v>121</v>
      </c>
      <c r="C225" s="133" t="s">
        <v>631</v>
      </c>
      <c r="D225" s="16" t="s">
        <v>12</v>
      </c>
      <c r="E225" s="97" t="s">
        <v>361</v>
      </c>
      <c r="F225" s="39">
        <f>356-86.1</f>
        <v>269.89999999999998</v>
      </c>
      <c r="G225" s="39">
        <f>356-86.1</f>
        <v>269.89999999999998</v>
      </c>
      <c r="H225" s="93">
        <f t="shared" si="28"/>
        <v>100</v>
      </c>
    </row>
    <row r="226" spans="1:8" ht="79.2" x14ac:dyDescent="0.25">
      <c r="A226" s="5" t="s">
        <v>93</v>
      </c>
      <c r="B226" s="5" t="s">
        <v>121</v>
      </c>
      <c r="C226" s="73" t="s">
        <v>141</v>
      </c>
      <c r="D226" s="16"/>
      <c r="E226" s="63" t="s">
        <v>567</v>
      </c>
      <c r="F226" s="95">
        <f>F227</f>
        <v>1356.4</v>
      </c>
      <c r="G226" s="95">
        <f>G227</f>
        <v>1356.4</v>
      </c>
      <c r="H226" s="62">
        <f t="shared" si="28"/>
        <v>100</v>
      </c>
    </row>
    <row r="227" spans="1:8" ht="66" x14ac:dyDescent="0.25">
      <c r="A227" s="47" t="s">
        <v>93</v>
      </c>
      <c r="B227" s="47" t="s">
        <v>121</v>
      </c>
      <c r="C227" s="52" t="s">
        <v>142</v>
      </c>
      <c r="D227" s="16"/>
      <c r="E227" s="48" t="s">
        <v>537</v>
      </c>
      <c r="F227" s="92">
        <f>F228+F230+F232</f>
        <v>1356.4</v>
      </c>
      <c r="G227" s="92">
        <f>G228+G230+G232</f>
        <v>1356.4</v>
      </c>
      <c r="H227" s="58">
        <f t="shared" si="28"/>
        <v>100</v>
      </c>
    </row>
    <row r="228" spans="1:8" ht="92.4" x14ac:dyDescent="0.25">
      <c r="A228" s="16" t="s">
        <v>93</v>
      </c>
      <c r="B228" s="16" t="s">
        <v>121</v>
      </c>
      <c r="C228" s="74">
        <v>810123102</v>
      </c>
      <c r="D228" s="16"/>
      <c r="E228" s="98" t="s">
        <v>497</v>
      </c>
      <c r="F228" s="39">
        <f>F229</f>
        <v>591</v>
      </c>
      <c r="G228" s="39">
        <f>G229</f>
        <v>591</v>
      </c>
      <c r="H228" s="93">
        <f t="shared" si="28"/>
        <v>100</v>
      </c>
    </row>
    <row r="229" spans="1:8" ht="39.6" x14ac:dyDescent="0.25">
      <c r="A229" s="16" t="s">
        <v>93</v>
      </c>
      <c r="B229" s="16" t="s">
        <v>121</v>
      </c>
      <c r="C229" s="74">
        <v>810123102</v>
      </c>
      <c r="D229" s="82" t="s">
        <v>205</v>
      </c>
      <c r="E229" s="97" t="s">
        <v>206</v>
      </c>
      <c r="F229" s="39">
        <v>591</v>
      </c>
      <c r="G229" s="39">
        <v>591</v>
      </c>
      <c r="H229" s="93">
        <f t="shared" si="28"/>
        <v>100</v>
      </c>
    </row>
    <row r="230" spans="1:8" ht="92.4" x14ac:dyDescent="0.25">
      <c r="A230" s="16" t="s">
        <v>93</v>
      </c>
      <c r="B230" s="16" t="s">
        <v>121</v>
      </c>
      <c r="C230" s="74">
        <v>810123103</v>
      </c>
      <c r="D230" s="82"/>
      <c r="E230" s="97" t="s">
        <v>498</v>
      </c>
      <c r="F230" s="39">
        <f>F231</f>
        <v>435</v>
      </c>
      <c r="G230" s="39">
        <f t="shared" ref="G230" si="37">G231</f>
        <v>435</v>
      </c>
      <c r="H230" s="93">
        <f t="shared" si="28"/>
        <v>100</v>
      </c>
    </row>
    <row r="231" spans="1:8" ht="39.6" x14ac:dyDescent="0.25">
      <c r="A231" s="16" t="s">
        <v>93</v>
      </c>
      <c r="B231" s="16" t="s">
        <v>121</v>
      </c>
      <c r="C231" s="74">
        <v>810123103</v>
      </c>
      <c r="D231" s="82" t="s">
        <v>205</v>
      </c>
      <c r="E231" s="97" t="s">
        <v>206</v>
      </c>
      <c r="F231" s="39">
        <v>435</v>
      </c>
      <c r="G231" s="39">
        <v>435</v>
      </c>
      <c r="H231" s="93">
        <f t="shared" si="28"/>
        <v>100</v>
      </c>
    </row>
    <row r="232" spans="1:8" ht="92.4" x14ac:dyDescent="0.25">
      <c r="A232" s="16" t="s">
        <v>93</v>
      </c>
      <c r="B232" s="16" t="s">
        <v>121</v>
      </c>
      <c r="C232" s="74">
        <v>810123104</v>
      </c>
      <c r="D232" s="82"/>
      <c r="E232" s="97" t="s">
        <v>499</v>
      </c>
      <c r="F232" s="39">
        <f>F233</f>
        <v>330.4</v>
      </c>
      <c r="G232" s="39">
        <f t="shared" ref="G232" si="38">G233</f>
        <v>330.4</v>
      </c>
      <c r="H232" s="93">
        <f t="shared" si="28"/>
        <v>100</v>
      </c>
    </row>
    <row r="233" spans="1:8" ht="39.6" x14ac:dyDescent="0.25">
      <c r="A233" s="16" t="s">
        <v>93</v>
      </c>
      <c r="B233" s="16" t="s">
        <v>121</v>
      </c>
      <c r="C233" s="74">
        <v>810123104</v>
      </c>
      <c r="D233" s="82" t="s">
        <v>205</v>
      </c>
      <c r="E233" s="97" t="s">
        <v>206</v>
      </c>
      <c r="F233" s="39">
        <f>295.4+35</f>
        <v>330.4</v>
      </c>
      <c r="G233" s="39">
        <f>295.4+35</f>
        <v>330.4</v>
      </c>
      <c r="H233" s="93">
        <f t="shared" si="28"/>
        <v>100</v>
      </c>
    </row>
    <row r="234" spans="1:8" ht="28.2" x14ac:dyDescent="0.3">
      <c r="A234" s="4" t="s">
        <v>94</v>
      </c>
      <c r="B234" s="3"/>
      <c r="C234" s="3"/>
      <c r="D234" s="3"/>
      <c r="E234" s="49" t="s">
        <v>48</v>
      </c>
      <c r="F234" s="91">
        <f>F235+F256+F292+F348</f>
        <v>91385.400000000009</v>
      </c>
      <c r="G234" s="91">
        <f>G235+G256+G292+G348</f>
        <v>89344.6</v>
      </c>
      <c r="H234" s="186">
        <f t="shared" si="28"/>
        <v>97.8</v>
      </c>
    </row>
    <row r="235" spans="1:8" ht="14.4" x14ac:dyDescent="0.3">
      <c r="A235" s="30" t="s">
        <v>94</v>
      </c>
      <c r="B235" s="30" t="s">
        <v>87</v>
      </c>
      <c r="C235" s="30"/>
      <c r="D235" s="30"/>
      <c r="E235" s="27" t="s">
        <v>43</v>
      </c>
      <c r="F235" s="40">
        <f>F236</f>
        <v>9279.4</v>
      </c>
      <c r="G235" s="40">
        <f>G236</f>
        <v>8737.2000000000007</v>
      </c>
      <c r="H235" s="42">
        <f t="shared" si="28"/>
        <v>94.2</v>
      </c>
    </row>
    <row r="236" spans="1:8" ht="79.2" x14ac:dyDescent="0.25">
      <c r="A236" s="5" t="s">
        <v>94</v>
      </c>
      <c r="B236" s="5" t="s">
        <v>87</v>
      </c>
      <c r="C236" s="73" t="s">
        <v>149</v>
      </c>
      <c r="D236" s="16"/>
      <c r="E236" s="139" t="s">
        <v>562</v>
      </c>
      <c r="F236" s="95">
        <f>F237+F243+F251</f>
        <v>9279.4</v>
      </c>
      <c r="G236" s="95">
        <f>G237+G243+G251</f>
        <v>8737.2000000000007</v>
      </c>
      <c r="H236" s="62">
        <f t="shared" si="28"/>
        <v>94.2</v>
      </c>
    </row>
    <row r="237" spans="1:8" ht="40.5" customHeight="1" x14ac:dyDescent="0.25">
      <c r="A237" s="47" t="s">
        <v>94</v>
      </c>
      <c r="B237" s="47" t="s">
        <v>87</v>
      </c>
      <c r="C237" s="52" t="s">
        <v>145</v>
      </c>
      <c r="D237" s="16"/>
      <c r="E237" s="48" t="s">
        <v>291</v>
      </c>
      <c r="F237" s="92">
        <f>F238+F241</f>
        <v>2195.5</v>
      </c>
      <c r="G237" s="92">
        <f>G238+G241</f>
        <v>1940.4</v>
      </c>
      <c r="H237" s="93">
        <f t="shared" si="28"/>
        <v>88.4</v>
      </c>
    </row>
    <row r="238" spans="1:8" ht="52.8" x14ac:dyDescent="0.3">
      <c r="A238" s="16" t="s">
        <v>94</v>
      </c>
      <c r="B238" s="16" t="s">
        <v>87</v>
      </c>
      <c r="C238" s="134" t="s">
        <v>473</v>
      </c>
      <c r="D238" s="3"/>
      <c r="E238" s="97" t="s">
        <v>259</v>
      </c>
      <c r="F238" s="41">
        <f>SUM(F239:F240)</f>
        <v>1741.2</v>
      </c>
      <c r="G238" s="41">
        <f t="shared" ref="G238" si="39">SUM(G239:G240)</f>
        <v>1486.1000000000001</v>
      </c>
      <c r="H238" s="93">
        <f t="shared" si="28"/>
        <v>85.3</v>
      </c>
    </row>
    <row r="239" spans="1:8" ht="39.6" x14ac:dyDescent="0.25">
      <c r="A239" s="16" t="s">
        <v>94</v>
      </c>
      <c r="B239" s="16" t="s">
        <v>87</v>
      </c>
      <c r="C239" s="134" t="s">
        <v>473</v>
      </c>
      <c r="D239" s="82" t="s">
        <v>205</v>
      </c>
      <c r="E239" s="97" t="s">
        <v>206</v>
      </c>
      <c r="F239" s="41">
        <f>100+853.3+72.8+2.5+693.5+7.2</f>
        <v>1729.3</v>
      </c>
      <c r="G239" s="41">
        <v>1474.2</v>
      </c>
      <c r="H239" s="93">
        <f t="shared" si="28"/>
        <v>85.2</v>
      </c>
    </row>
    <row r="240" spans="1:8" x14ac:dyDescent="0.25">
      <c r="A240" s="16" t="s">
        <v>94</v>
      </c>
      <c r="B240" s="16" t="s">
        <v>87</v>
      </c>
      <c r="C240" s="134" t="s">
        <v>473</v>
      </c>
      <c r="D240" s="82" t="s">
        <v>652</v>
      </c>
      <c r="E240" s="97" t="s">
        <v>653</v>
      </c>
      <c r="F240" s="41">
        <f>7.6+4.3</f>
        <v>11.899999999999999</v>
      </c>
      <c r="G240" s="41">
        <v>11.9</v>
      </c>
      <c r="H240" s="93">
        <f t="shared" si="28"/>
        <v>100</v>
      </c>
    </row>
    <row r="241" spans="1:8" ht="26.4" x14ac:dyDescent="0.3">
      <c r="A241" s="16" t="s">
        <v>94</v>
      </c>
      <c r="B241" s="16" t="s">
        <v>87</v>
      </c>
      <c r="C241" s="21" t="s">
        <v>474</v>
      </c>
      <c r="D241" s="3"/>
      <c r="E241" s="97" t="s">
        <v>332</v>
      </c>
      <c r="F241" s="41">
        <f>F242</f>
        <v>454.3</v>
      </c>
      <c r="G241" s="41">
        <f>G242</f>
        <v>454.3</v>
      </c>
      <c r="H241" s="93">
        <f t="shared" si="28"/>
        <v>100</v>
      </c>
    </row>
    <row r="242" spans="1:8" ht="39.6" x14ac:dyDescent="0.25">
      <c r="A242" s="16" t="s">
        <v>94</v>
      </c>
      <c r="B242" s="16" t="s">
        <v>87</v>
      </c>
      <c r="C242" s="21" t="s">
        <v>474</v>
      </c>
      <c r="D242" s="82" t="s">
        <v>205</v>
      </c>
      <c r="E242" s="97" t="s">
        <v>206</v>
      </c>
      <c r="F242" s="39">
        <f>800-222.5-123.2</f>
        <v>454.3</v>
      </c>
      <c r="G242" s="39">
        <v>454.3</v>
      </c>
      <c r="H242" s="93">
        <f t="shared" si="28"/>
        <v>100</v>
      </c>
    </row>
    <row r="243" spans="1:8" ht="39.6" x14ac:dyDescent="0.25">
      <c r="A243" s="47" t="s">
        <v>94</v>
      </c>
      <c r="B243" s="47" t="s">
        <v>87</v>
      </c>
      <c r="C243" s="52" t="s">
        <v>146</v>
      </c>
      <c r="D243" s="16"/>
      <c r="E243" s="48" t="s">
        <v>143</v>
      </c>
      <c r="F243" s="92">
        <f>F244+F246+F248</f>
        <v>3549.5999999999995</v>
      </c>
      <c r="G243" s="92">
        <f>G244+G246+G248</f>
        <v>3549.5999999999995</v>
      </c>
      <c r="H243" s="93">
        <f t="shared" si="28"/>
        <v>100</v>
      </c>
    </row>
    <row r="244" spans="1:8" ht="52.8" x14ac:dyDescent="0.25">
      <c r="A244" s="16" t="s">
        <v>94</v>
      </c>
      <c r="B244" s="16" t="s">
        <v>87</v>
      </c>
      <c r="C244" s="79">
        <v>520123262</v>
      </c>
      <c r="D244" s="16"/>
      <c r="E244" s="97" t="s">
        <v>293</v>
      </c>
      <c r="F244" s="41">
        <f>F245</f>
        <v>15.7</v>
      </c>
      <c r="G244" s="41">
        <f>G245</f>
        <v>15.7</v>
      </c>
      <c r="H244" s="93">
        <f t="shared" si="28"/>
        <v>100</v>
      </c>
    </row>
    <row r="245" spans="1:8" ht="39.6" x14ac:dyDescent="0.25">
      <c r="A245" s="16" t="s">
        <v>94</v>
      </c>
      <c r="B245" s="16" t="s">
        <v>87</v>
      </c>
      <c r="C245" s="79">
        <v>520123262</v>
      </c>
      <c r="D245" s="82" t="s">
        <v>205</v>
      </c>
      <c r="E245" s="97" t="s">
        <v>206</v>
      </c>
      <c r="F245" s="41">
        <f>20-4.3</f>
        <v>15.7</v>
      </c>
      <c r="G245" s="41">
        <v>15.7</v>
      </c>
      <c r="H245" s="93">
        <f t="shared" si="28"/>
        <v>100</v>
      </c>
    </row>
    <row r="246" spans="1:8" ht="26.4" x14ac:dyDescent="0.25">
      <c r="A246" s="16" t="s">
        <v>94</v>
      </c>
      <c r="B246" s="16" t="s">
        <v>87</v>
      </c>
      <c r="C246" s="134" t="s">
        <v>475</v>
      </c>
      <c r="D246" s="82"/>
      <c r="E246" s="97" t="s">
        <v>476</v>
      </c>
      <c r="F246" s="41">
        <f>F247</f>
        <v>200</v>
      </c>
      <c r="G246" s="41">
        <f>G247</f>
        <v>200</v>
      </c>
      <c r="H246" s="93">
        <f t="shared" si="28"/>
        <v>100</v>
      </c>
    </row>
    <row r="247" spans="1:8" ht="39.6" x14ac:dyDescent="0.25">
      <c r="A247" s="16" t="s">
        <v>94</v>
      </c>
      <c r="B247" s="16" t="s">
        <v>87</v>
      </c>
      <c r="C247" s="134" t="s">
        <v>475</v>
      </c>
      <c r="D247" s="82" t="s">
        <v>205</v>
      </c>
      <c r="E247" s="97" t="s">
        <v>206</v>
      </c>
      <c r="F247" s="41">
        <v>200</v>
      </c>
      <c r="G247" s="41">
        <v>200</v>
      </c>
      <c r="H247" s="93">
        <f t="shared" si="28"/>
        <v>100</v>
      </c>
    </row>
    <row r="248" spans="1:8" ht="52.8" x14ac:dyDescent="0.25">
      <c r="A248" s="16" t="s">
        <v>94</v>
      </c>
      <c r="B248" s="16" t="s">
        <v>87</v>
      </c>
      <c r="C248" s="79">
        <v>520223264</v>
      </c>
      <c r="D248" s="82"/>
      <c r="E248" s="97" t="s">
        <v>478</v>
      </c>
      <c r="F248" s="41">
        <f>SUM(F249:F250)</f>
        <v>3333.8999999999996</v>
      </c>
      <c r="G248" s="41">
        <f>SUM(G249:G250)</f>
        <v>3333.8999999999996</v>
      </c>
      <c r="H248" s="93">
        <f t="shared" si="28"/>
        <v>100</v>
      </c>
    </row>
    <row r="249" spans="1:8" x14ac:dyDescent="0.25">
      <c r="A249" s="16" t="s">
        <v>94</v>
      </c>
      <c r="B249" s="16" t="s">
        <v>87</v>
      </c>
      <c r="C249" s="79">
        <v>520223264</v>
      </c>
      <c r="D249" s="82" t="s">
        <v>652</v>
      </c>
      <c r="E249" s="97" t="s">
        <v>653</v>
      </c>
      <c r="F249" s="41">
        <f>67.5+9.8+0.1+23.3</f>
        <v>100.69999999999999</v>
      </c>
      <c r="G249" s="41">
        <v>100.7</v>
      </c>
      <c r="H249" s="93">
        <f t="shared" si="28"/>
        <v>100</v>
      </c>
    </row>
    <row r="250" spans="1:8" ht="26.4" x14ac:dyDescent="0.25">
      <c r="A250" s="16" t="s">
        <v>94</v>
      </c>
      <c r="B250" s="16" t="s">
        <v>87</v>
      </c>
      <c r="C250" s="79">
        <v>520223264</v>
      </c>
      <c r="D250" s="82" t="s">
        <v>129</v>
      </c>
      <c r="E250" s="97" t="s">
        <v>130</v>
      </c>
      <c r="F250" s="41">
        <f>1648+325.2+337+946.3-23.3</f>
        <v>3233.2</v>
      </c>
      <c r="G250" s="41">
        <v>3233.2</v>
      </c>
      <c r="H250" s="93">
        <f t="shared" si="28"/>
        <v>100</v>
      </c>
    </row>
    <row r="251" spans="1:8" ht="66" x14ac:dyDescent="0.25">
      <c r="A251" s="47" t="s">
        <v>94</v>
      </c>
      <c r="B251" s="47" t="s">
        <v>87</v>
      </c>
      <c r="C251" s="52" t="s">
        <v>147</v>
      </c>
      <c r="D251" s="16"/>
      <c r="E251" s="48" t="s">
        <v>144</v>
      </c>
      <c r="F251" s="92">
        <f>F252+F254</f>
        <v>3534.3</v>
      </c>
      <c r="G251" s="92">
        <f>G252+G254</f>
        <v>3247.2</v>
      </c>
      <c r="H251" s="58">
        <f t="shared" ref="H251:H302" si="40">ROUND((G251/F251*100),1)</f>
        <v>91.9</v>
      </c>
    </row>
    <row r="252" spans="1:8" ht="66.75" customHeight="1" x14ac:dyDescent="0.25">
      <c r="A252" s="82" t="s">
        <v>94</v>
      </c>
      <c r="B252" s="82" t="s">
        <v>87</v>
      </c>
      <c r="C252" s="79">
        <v>530123271</v>
      </c>
      <c r="D252" s="16"/>
      <c r="E252" s="97" t="s">
        <v>148</v>
      </c>
      <c r="F252" s="41">
        <f>F253</f>
        <v>1612.2000000000003</v>
      </c>
      <c r="G252" s="41">
        <f>G253</f>
        <v>1325.1</v>
      </c>
      <c r="H252" s="93">
        <f t="shared" si="40"/>
        <v>82.2</v>
      </c>
    </row>
    <row r="253" spans="1:8" ht="39.6" x14ac:dyDescent="0.25">
      <c r="A253" s="16" t="s">
        <v>94</v>
      </c>
      <c r="B253" s="16" t="s">
        <v>87</v>
      </c>
      <c r="C253" s="79">
        <v>530123271</v>
      </c>
      <c r="D253" s="82" t="s">
        <v>205</v>
      </c>
      <c r="E253" s="97" t="s">
        <v>206</v>
      </c>
      <c r="F253" s="1">
        <f>1461.4-6.8+123.2+22.9+11.5</f>
        <v>1612.2000000000003</v>
      </c>
      <c r="G253" s="39">
        <v>1325.1</v>
      </c>
      <c r="H253" s="93">
        <f t="shared" si="40"/>
        <v>82.2</v>
      </c>
    </row>
    <row r="254" spans="1:8" ht="55.5" customHeight="1" x14ac:dyDescent="0.25">
      <c r="A254" s="16" t="s">
        <v>94</v>
      </c>
      <c r="B254" s="16" t="s">
        <v>87</v>
      </c>
      <c r="C254" s="79">
        <v>530223272</v>
      </c>
      <c r="D254" s="16"/>
      <c r="E254" s="97" t="s">
        <v>480</v>
      </c>
      <c r="F254" s="41">
        <f t="shared" ref="F254:G254" si="41">F255</f>
        <v>1922.1</v>
      </c>
      <c r="G254" s="41">
        <f t="shared" si="41"/>
        <v>1922.1</v>
      </c>
      <c r="H254" s="93">
        <f t="shared" si="40"/>
        <v>100</v>
      </c>
    </row>
    <row r="255" spans="1:8" ht="39.6" x14ac:dyDescent="0.25">
      <c r="A255" s="16" t="s">
        <v>94</v>
      </c>
      <c r="B255" s="16" t="s">
        <v>87</v>
      </c>
      <c r="C255" s="79">
        <v>530223272</v>
      </c>
      <c r="D255" s="82" t="s">
        <v>205</v>
      </c>
      <c r="E255" s="97" t="s">
        <v>206</v>
      </c>
      <c r="F255" s="41">
        <v>1922.1</v>
      </c>
      <c r="G255" s="41">
        <v>1922.1</v>
      </c>
      <c r="H255" s="93">
        <f t="shared" si="40"/>
        <v>100</v>
      </c>
    </row>
    <row r="256" spans="1:8" ht="14.4" x14ac:dyDescent="0.3">
      <c r="A256" s="30" t="s">
        <v>94</v>
      </c>
      <c r="B256" s="30" t="s">
        <v>88</v>
      </c>
      <c r="C256" s="30"/>
      <c r="D256" s="30"/>
      <c r="E256" s="27" t="s">
        <v>42</v>
      </c>
      <c r="F256" s="40">
        <f>F257+F271+F289</f>
        <v>28510</v>
      </c>
      <c r="G256" s="40">
        <f>G257+G271+G289</f>
        <v>28436.9</v>
      </c>
      <c r="H256" s="42">
        <f t="shared" si="40"/>
        <v>99.7</v>
      </c>
    </row>
    <row r="257" spans="1:8" ht="66" x14ac:dyDescent="0.25">
      <c r="A257" s="5" t="s">
        <v>94</v>
      </c>
      <c r="B257" s="5" t="s">
        <v>88</v>
      </c>
      <c r="C257" s="76">
        <v>400000000</v>
      </c>
      <c r="D257" s="5"/>
      <c r="E257" s="64" t="s">
        <v>371</v>
      </c>
      <c r="F257" s="95">
        <f t="shared" ref="F257:G257" si="42">F258</f>
        <v>15674.5</v>
      </c>
      <c r="G257" s="95">
        <f t="shared" si="42"/>
        <v>15654.1</v>
      </c>
      <c r="H257" s="62">
        <f t="shared" si="40"/>
        <v>99.9</v>
      </c>
    </row>
    <row r="258" spans="1:8" ht="88.5" customHeight="1" x14ac:dyDescent="0.25">
      <c r="A258" s="16" t="s">
        <v>94</v>
      </c>
      <c r="B258" s="16" t="s">
        <v>88</v>
      </c>
      <c r="C258" s="75">
        <v>430000000</v>
      </c>
      <c r="D258" s="16"/>
      <c r="E258" s="46" t="s">
        <v>659</v>
      </c>
      <c r="F258" s="92">
        <f>F259+F261+F263+F265+F267+F269</f>
        <v>15674.5</v>
      </c>
      <c r="G258" s="92">
        <f t="shared" ref="G258" si="43">G259+G261+G263+G265+G267+G269</f>
        <v>15654.1</v>
      </c>
      <c r="H258" s="93">
        <f t="shared" si="40"/>
        <v>99.9</v>
      </c>
    </row>
    <row r="259" spans="1:8" ht="118.8" x14ac:dyDescent="0.25">
      <c r="A259" s="16" t="s">
        <v>94</v>
      </c>
      <c r="B259" s="16" t="s">
        <v>88</v>
      </c>
      <c r="C259" s="74">
        <v>430227340</v>
      </c>
      <c r="D259" s="16"/>
      <c r="E259" s="97" t="s">
        <v>595</v>
      </c>
      <c r="F259" s="39">
        <f>F260</f>
        <v>1540.3</v>
      </c>
      <c r="G259" s="39">
        <f t="shared" ref="G259" si="44">G260</f>
        <v>1540.3</v>
      </c>
      <c r="H259" s="93">
        <f t="shared" si="40"/>
        <v>100</v>
      </c>
    </row>
    <row r="260" spans="1:8" ht="66" x14ac:dyDescent="0.25">
      <c r="A260" s="16" t="s">
        <v>94</v>
      </c>
      <c r="B260" s="16" t="s">
        <v>88</v>
      </c>
      <c r="C260" s="74">
        <v>430227340</v>
      </c>
      <c r="D260" s="16" t="s">
        <v>12</v>
      </c>
      <c r="E260" s="97" t="s">
        <v>315</v>
      </c>
      <c r="F260" s="39">
        <f>1720-80-99.7</f>
        <v>1540.3</v>
      </c>
      <c r="G260" s="39">
        <v>1540.3</v>
      </c>
      <c r="H260" s="93">
        <f t="shared" si="40"/>
        <v>100</v>
      </c>
    </row>
    <row r="261" spans="1:8" ht="124.5" customHeight="1" x14ac:dyDescent="0.25">
      <c r="A261" s="16" t="s">
        <v>94</v>
      </c>
      <c r="B261" s="16" t="s">
        <v>88</v>
      </c>
      <c r="C261" s="74">
        <v>430227350</v>
      </c>
      <c r="D261" s="16"/>
      <c r="E261" s="97" t="s">
        <v>582</v>
      </c>
      <c r="F261" s="39">
        <f>F262</f>
        <v>22.9</v>
      </c>
      <c r="G261" s="39">
        <f t="shared" ref="G261" si="45">G262</f>
        <v>21</v>
      </c>
      <c r="H261" s="93">
        <f t="shared" si="40"/>
        <v>91.7</v>
      </c>
    </row>
    <row r="262" spans="1:8" ht="66" x14ac:dyDescent="0.25">
      <c r="A262" s="16" t="s">
        <v>94</v>
      </c>
      <c r="B262" s="16" t="s">
        <v>88</v>
      </c>
      <c r="C262" s="74">
        <v>430227350</v>
      </c>
      <c r="D262" s="16" t="s">
        <v>12</v>
      </c>
      <c r="E262" s="97" t="s">
        <v>315</v>
      </c>
      <c r="F262" s="39">
        <f>21.7+1.2</f>
        <v>22.9</v>
      </c>
      <c r="G262" s="39">
        <v>21</v>
      </c>
      <c r="H262" s="93">
        <f t="shared" si="40"/>
        <v>91.7</v>
      </c>
    </row>
    <row r="263" spans="1:8" ht="126.75" customHeight="1" x14ac:dyDescent="0.25">
      <c r="A263" s="16" t="s">
        <v>94</v>
      </c>
      <c r="B263" s="16" t="s">
        <v>88</v>
      </c>
      <c r="C263" s="74">
        <v>430227360</v>
      </c>
      <c r="D263" s="16"/>
      <c r="E263" s="97" t="s">
        <v>583</v>
      </c>
      <c r="F263" s="39">
        <f>F264</f>
        <v>5953.4000000000005</v>
      </c>
      <c r="G263" s="39">
        <f>G264</f>
        <v>5934.9</v>
      </c>
      <c r="H263" s="93">
        <f t="shared" si="40"/>
        <v>99.7</v>
      </c>
    </row>
    <row r="264" spans="1:8" ht="66" x14ac:dyDescent="0.25">
      <c r="A264" s="16" t="s">
        <v>94</v>
      </c>
      <c r="B264" s="16" t="s">
        <v>88</v>
      </c>
      <c r="C264" s="74">
        <v>430227360</v>
      </c>
      <c r="D264" s="16" t="s">
        <v>12</v>
      </c>
      <c r="E264" s="97" t="s">
        <v>315</v>
      </c>
      <c r="F264" s="39">
        <f>5227.7+586.1+300-160.4</f>
        <v>5953.4000000000005</v>
      </c>
      <c r="G264" s="39">
        <v>5934.9</v>
      </c>
      <c r="H264" s="93">
        <f t="shared" si="40"/>
        <v>99.7</v>
      </c>
    </row>
    <row r="265" spans="1:8" ht="126.75" customHeight="1" x14ac:dyDescent="0.25">
      <c r="A265" s="16" t="s">
        <v>94</v>
      </c>
      <c r="B265" s="16" t="s">
        <v>88</v>
      </c>
      <c r="C265" s="74">
        <v>430227370</v>
      </c>
      <c r="D265" s="16"/>
      <c r="E265" s="97" t="s">
        <v>596</v>
      </c>
      <c r="F265" s="39">
        <f>F266</f>
        <v>642.09999999999991</v>
      </c>
      <c r="G265" s="39">
        <f t="shared" ref="G265" si="46">G266</f>
        <v>642.1</v>
      </c>
      <c r="H265" s="93">
        <f t="shared" si="40"/>
        <v>100</v>
      </c>
    </row>
    <row r="266" spans="1:8" ht="66" x14ac:dyDescent="0.25">
      <c r="A266" s="16" t="s">
        <v>94</v>
      </c>
      <c r="B266" s="16" t="s">
        <v>88</v>
      </c>
      <c r="C266" s="74">
        <v>430227370</v>
      </c>
      <c r="D266" s="16" t="s">
        <v>12</v>
      </c>
      <c r="E266" s="97" t="s">
        <v>315</v>
      </c>
      <c r="F266" s="39">
        <f>1606.6-900-64.5</f>
        <v>642.09999999999991</v>
      </c>
      <c r="G266" s="39">
        <v>642.1</v>
      </c>
      <c r="H266" s="93">
        <f t="shared" si="40"/>
        <v>100</v>
      </c>
    </row>
    <row r="267" spans="1:8" ht="132" x14ac:dyDescent="0.25">
      <c r="A267" s="16" t="s">
        <v>94</v>
      </c>
      <c r="B267" s="16" t="s">
        <v>88</v>
      </c>
      <c r="C267" s="74">
        <v>430227390</v>
      </c>
      <c r="D267" s="16"/>
      <c r="E267" s="97" t="s">
        <v>656</v>
      </c>
      <c r="F267" s="39">
        <f>F268</f>
        <v>3115.8</v>
      </c>
      <c r="G267" s="39">
        <f t="shared" ref="G267" si="47">G268</f>
        <v>3115.8</v>
      </c>
      <c r="H267" s="93">
        <f t="shared" si="40"/>
        <v>100</v>
      </c>
    </row>
    <row r="268" spans="1:8" ht="66" x14ac:dyDescent="0.25">
      <c r="A268" s="16" t="s">
        <v>94</v>
      </c>
      <c r="B268" s="16" t="s">
        <v>88</v>
      </c>
      <c r="C268" s="74">
        <v>430227390</v>
      </c>
      <c r="D268" s="16" t="s">
        <v>12</v>
      </c>
      <c r="E268" s="97" t="s">
        <v>315</v>
      </c>
      <c r="F268" s="39">
        <v>3115.8</v>
      </c>
      <c r="G268" s="39">
        <v>3115.8</v>
      </c>
      <c r="H268" s="93">
        <f t="shared" si="40"/>
        <v>100</v>
      </c>
    </row>
    <row r="269" spans="1:8" ht="126.75" customHeight="1" x14ac:dyDescent="0.25">
      <c r="A269" s="16" t="s">
        <v>94</v>
      </c>
      <c r="B269" s="16" t="s">
        <v>88</v>
      </c>
      <c r="C269" s="74">
        <v>430227400</v>
      </c>
      <c r="D269" s="16"/>
      <c r="E269" s="97" t="s">
        <v>691</v>
      </c>
      <c r="F269" s="39">
        <f>F270</f>
        <v>4400</v>
      </c>
      <c r="G269" s="39">
        <f t="shared" ref="G269" si="48">G270</f>
        <v>4400</v>
      </c>
      <c r="H269" s="93">
        <f t="shared" si="40"/>
        <v>100</v>
      </c>
    </row>
    <row r="270" spans="1:8" ht="66" x14ac:dyDescent="0.25">
      <c r="A270" s="16" t="s">
        <v>94</v>
      </c>
      <c r="B270" s="16" t="s">
        <v>88</v>
      </c>
      <c r="C270" s="74">
        <v>430227400</v>
      </c>
      <c r="D270" s="16" t="s">
        <v>12</v>
      </c>
      <c r="E270" s="97" t="s">
        <v>315</v>
      </c>
      <c r="F270" s="39">
        <v>4400</v>
      </c>
      <c r="G270" s="39">
        <v>4400</v>
      </c>
      <c r="H270" s="93">
        <f t="shared" si="40"/>
        <v>100</v>
      </c>
    </row>
    <row r="271" spans="1:8" ht="105.6" x14ac:dyDescent="0.25">
      <c r="A271" s="5" t="s">
        <v>94</v>
      </c>
      <c r="B271" s="5" t="s">
        <v>88</v>
      </c>
      <c r="C271" s="81" t="s">
        <v>33</v>
      </c>
      <c r="D271" s="16"/>
      <c r="E271" s="53" t="s">
        <v>565</v>
      </c>
      <c r="F271" s="95">
        <f>F272+F277+F282</f>
        <v>12785.5</v>
      </c>
      <c r="G271" s="95">
        <f>G272+G277+G282</f>
        <v>12782.800000000001</v>
      </c>
      <c r="H271" s="62">
        <f t="shared" si="40"/>
        <v>100</v>
      </c>
    </row>
    <row r="272" spans="1:8" ht="39.6" x14ac:dyDescent="0.25">
      <c r="A272" s="16" t="s">
        <v>94</v>
      </c>
      <c r="B272" s="16" t="s">
        <v>88</v>
      </c>
      <c r="C272" s="52" t="s">
        <v>34</v>
      </c>
      <c r="D272" s="16"/>
      <c r="E272" s="48" t="s">
        <v>539</v>
      </c>
      <c r="F272" s="92">
        <f>F273+F275</f>
        <v>499.7</v>
      </c>
      <c r="G272" s="92">
        <f>G273+G275</f>
        <v>499.7</v>
      </c>
      <c r="H272" s="58">
        <f t="shared" si="40"/>
        <v>100</v>
      </c>
    </row>
    <row r="273" spans="1:8" ht="26.4" x14ac:dyDescent="0.3">
      <c r="A273" s="16" t="s">
        <v>94</v>
      </c>
      <c r="B273" s="16" t="s">
        <v>88</v>
      </c>
      <c r="C273" s="21" t="s">
        <v>484</v>
      </c>
      <c r="D273" s="3"/>
      <c r="E273" s="97" t="s">
        <v>183</v>
      </c>
      <c r="F273" s="41">
        <f t="shared" ref="F273:G273" si="49">F274</f>
        <v>485.7</v>
      </c>
      <c r="G273" s="41">
        <f t="shared" si="49"/>
        <v>485.7</v>
      </c>
      <c r="H273" s="93">
        <f t="shared" si="40"/>
        <v>100</v>
      </c>
    </row>
    <row r="274" spans="1:8" ht="39.6" x14ac:dyDescent="0.25">
      <c r="A274" s="16" t="s">
        <v>94</v>
      </c>
      <c r="B274" s="16" t="s">
        <v>88</v>
      </c>
      <c r="C274" s="21" t="s">
        <v>484</v>
      </c>
      <c r="D274" s="82" t="s">
        <v>205</v>
      </c>
      <c r="E274" s="97" t="s">
        <v>206</v>
      </c>
      <c r="F274" s="41">
        <v>485.7</v>
      </c>
      <c r="G274" s="39">
        <v>485.7</v>
      </c>
      <c r="H274" s="93">
        <f t="shared" si="40"/>
        <v>100</v>
      </c>
    </row>
    <row r="275" spans="1:8" ht="26.4" x14ac:dyDescent="0.25">
      <c r="A275" s="16" t="s">
        <v>94</v>
      </c>
      <c r="B275" s="16" t="s">
        <v>88</v>
      </c>
      <c r="C275" s="21" t="s">
        <v>485</v>
      </c>
      <c r="D275" s="16"/>
      <c r="E275" s="97" t="s">
        <v>330</v>
      </c>
      <c r="F275" s="41">
        <f t="shared" ref="F275:G275" si="50">F276</f>
        <v>14</v>
      </c>
      <c r="G275" s="41">
        <f t="shared" si="50"/>
        <v>14</v>
      </c>
      <c r="H275" s="93">
        <f t="shared" si="40"/>
        <v>100</v>
      </c>
    </row>
    <row r="276" spans="1:8" ht="39.6" x14ac:dyDescent="0.25">
      <c r="A276" s="16" t="s">
        <v>94</v>
      </c>
      <c r="B276" s="16" t="s">
        <v>88</v>
      </c>
      <c r="C276" s="21" t="s">
        <v>485</v>
      </c>
      <c r="D276" s="82" t="s">
        <v>205</v>
      </c>
      <c r="E276" s="97" t="s">
        <v>206</v>
      </c>
      <c r="F276" s="41">
        <f>8.3+1.7+4</f>
        <v>14</v>
      </c>
      <c r="G276" s="41">
        <v>14</v>
      </c>
      <c r="H276" s="93">
        <f t="shared" si="40"/>
        <v>100</v>
      </c>
    </row>
    <row r="277" spans="1:8" ht="26.4" x14ac:dyDescent="0.25">
      <c r="A277" s="47" t="s">
        <v>94</v>
      </c>
      <c r="B277" s="47" t="s">
        <v>88</v>
      </c>
      <c r="C277" s="52" t="s">
        <v>364</v>
      </c>
      <c r="D277" s="16"/>
      <c r="E277" s="46" t="s">
        <v>339</v>
      </c>
      <c r="F277" s="92">
        <f>F278+F280</f>
        <v>1026.8999999999996</v>
      </c>
      <c r="G277" s="92">
        <f>G278+G280</f>
        <v>1026.9000000000001</v>
      </c>
      <c r="H277" s="93">
        <f t="shared" si="40"/>
        <v>100</v>
      </c>
    </row>
    <row r="278" spans="1:8" ht="39.6" x14ac:dyDescent="0.25">
      <c r="A278" s="16" t="s">
        <v>94</v>
      </c>
      <c r="B278" s="16" t="s">
        <v>88</v>
      </c>
      <c r="C278" s="21" t="s">
        <v>488</v>
      </c>
      <c r="D278" s="16"/>
      <c r="E278" s="96" t="s">
        <v>184</v>
      </c>
      <c r="F278" s="41">
        <f>F279</f>
        <v>178</v>
      </c>
      <c r="G278" s="41">
        <f>G279</f>
        <v>178</v>
      </c>
      <c r="H278" s="93">
        <f t="shared" si="40"/>
        <v>100</v>
      </c>
    </row>
    <row r="279" spans="1:8" ht="39.6" x14ac:dyDescent="0.25">
      <c r="A279" s="16" t="s">
        <v>94</v>
      </c>
      <c r="B279" s="16" t="s">
        <v>88</v>
      </c>
      <c r="C279" s="21" t="s">
        <v>488</v>
      </c>
      <c r="D279" s="82" t="s">
        <v>205</v>
      </c>
      <c r="E279" s="97" t="s">
        <v>206</v>
      </c>
      <c r="F279" s="41">
        <f>200-20.3-1.7</f>
        <v>178</v>
      </c>
      <c r="G279" s="41">
        <v>178</v>
      </c>
      <c r="H279" s="93">
        <f t="shared" si="40"/>
        <v>100</v>
      </c>
    </row>
    <row r="280" spans="1:8" ht="26.4" x14ac:dyDescent="0.25">
      <c r="A280" s="16" t="s">
        <v>94</v>
      </c>
      <c r="B280" s="16" t="s">
        <v>88</v>
      </c>
      <c r="C280" s="21" t="s">
        <v>490</v>
      </c>
      <c r="D280" s="82"/>
      <c r="E280" s="97" t="s">
        <v>489</v>
      </c>
      <c r="F280" s="41">
        <f>F281</f>
        <v>848.89999999999964</v>
      </c>
      <c r="G280" s="41">
        <f t="shared" ref="G280" si="51">G281</f>
        <v>848.9</v>
      </c>
      <c r="H280" s="93">
        <f t="shared" si="40"/>
        <v>100</v>
      </c>
    </row>
    <row r="281" spans="1:8" ht="39.6" x14ac:dyDescent="0.25">
      <c r="A281" s="16" t="s">
        <v>94</v>
      </c>
      <c r="B281" s="16" t="s">
        <v>88</v>
      </c>
      <c r="C281" s="21" t="s">
        <v>490</v>
      </c>
      <c r="D281" s="82" t="s">
        <v>205</v>
      </c>
      <c r="E281" s="97" t="s">
        <v>206</v>
      </c>
      <c r="F281" s="41">
        <f>500+146.9+280-78+5000-5000</f>
        <v>848.89999999999964</v>
      </c>
      <c r="G281" s="41">
        <v>848.9</v>
      </c>
      <c r="H281" s="93">
        <f t="shared" si="40"/>
        <v>100</v>
      </c>
    </row>
    <row r="282" spans="1:8" ht="39.6" x14ac:dyDescent="0.25">
      <c r="A282" s="16" t="s">
        <v>94</v>
      </c>
      <c r="B282" s="16" t="s">
        <v>88</v>
      </c>
      <c r="C282" s="52" t="s">
        <v>35</v>
      </c>
      <c r="D282" s="16"/>
      <c r="E282" s="46" t="s">
        <v>491</v>
      </c>
      <c r="F282" s="41">
        <f>F283+F285+F287</f>
        <v>11258.9</v>
      </c>
      <c r="G282" s="41">
        <f>G283+G285+G287</f>
        <v>11256.2</v>
      </c>
      <c r="H282" s="93">
        <f t="shared" si="40"/>
        <v>100</v>
      </c>
    </row>
    <row r="283" spans="1:8" ht="39.6" x14ac:dyDescent="0.25">
      <c r="A283" s="16" t="s">
        <v>94</v>
      </c>
      <c r="B283" s="16" t="s">
        <v>88</v>
      </c>
      <c r="C283" s="21" t="s">
        <v>493</v>
      </c>
      <c r="D283" s="16"/>
      <c r="E283" s="98" t="s">
        <v>492</v>
      </c>
      <c r="F283" s="41">
        <f>F284</f>
        <v>9721.9</v>
      </c>
      <c r="G283" s="41">
        <f t="shared" ref="G283" si="52">G284</f>
        <v>9719.2000000000007</v>
      </c>
      <c r="H283" s="93">
        <f t="shared" si="40"/>
        <v>100</v>
      </c>
    </row>
    <row r="284" spans="1:8" ht="39.6" x14ac:dyDescent="0.25">
      <c r="A284" s="16" t="s">
        <v>94</v>
      </c>
      <c r="B284" s="16" t="s">
        <v>88</v>
      </c>
      <c r="C284" s="21" t="s">
        <v>493</v>
      </c>
      <c r="D284" s="82" t="s">
        <v>205</v>
      </c>
      <c r="E284" s="97" t="s">
        <v>206</v>
      </c>
      <c r="F284" s="41">
        <f>1700-700+700+3849.7+87.7+20.3+43.6+3961.7+63.5-4-0.6</f>
        <v>9721.9</v>
      </c>
      <c r="G284" s="41">
        <v>9719.2000000000007</v>
      </c>
      <c r="H284" s="93">
        <f t="shared" si="40"/>
        <v>100</v>
      </c>
    </row>
    <row r="285" spans="1:8" ht="52.8" x14ac:dyDescent="0.25">
      <c r="A285" s="16" t="s">
        <v>94</v>
      </c>
      <c r="B285" s="16" t="s">
        <v>88</v>
      </c>
      <c r="C285" s="21" t="s">
        <v>662</v>
      </c>
      <c r="D285" s="82"/>
      <c r="E285" s="97" t="s">
        <v>661</v>
      </c>
      <c r="F285" s="41">
        <f>F286</f>
        <v>91</v>
      </c>
      <c r="G285" s="41">
        <f t="shared" ref="G285" si="53">G286</f>
        <v>91</v>
      </c>
      <c r="H285" s="93">
        <f t="shared" si="40"/>
        <v>100</v>
      </c>
    </row>
    <row r="286" spans="1:8" ht="39.6" x14ac:dyDescent="0.25">
      <c r="A286" s="16" t="s">
        <v>94</v>
      </c>
      <c r="B286" s="16" t="s">
        <v>88</v>
      </c>
      <c r="C286" s="21" t="s">
        <v>662</v>
      </c>
      <c r="D286" s="82" t="s">
        <v>205</v>
      </c>
      <c r="E286" s="97" t="s">
        <v>206</v>
      </c>
      <c r="F286" s="41">
        <v>91</v>
      </c>
      <c r="G286" s="41">
        <v>91</v>
      </c>
      <c r="H286" s="93">
        <f t="shared" si="40"/>
        <v>100</v>
      </c>
    </row>
    <row r="287" spans="1:8" ht="26.4" x14ac:dyDescent="0.25">
      <c r="A287" s="16" t="s">
        <v>94</v>
      </c>
      <c r="B287" s="16" t="s">
        <v>88</v>
      </c>
      <c r="C287" s="21" t="s">
        <v>494</v>
      </c>
      <c r="D287" s="16"/>
      <c r="E287" s="98" t="s">
        <v>365</v>
      </c>
      <c r="F287" s="41">
        <f>F288</f>
        <v>1446</v>
      </c>
      <c r="G287" s="41">
        <f t="shared" ref="G287" si="54">G288</f>
        <v>1446</v>
      </c>
      <c r="H287" s="93">
        <f t="shared" si="40"/>
        <v>100</v>
      </c>
    </row>
    <row r="288" spans="1:8" x14ac:dyDescent="0.25">
      <c r="A288" s="16" t="s">
        <v>94</v>
      </c>
      <c r="B288" s="16" t="s">
        <v>88</v>
      </c>
      <c r="C288" s="21" t="s">
        <v>494</v>
      </c>
      <c r="D288" s="82" t="s">
        <v>244</v>
      </c>
      <c r="E288" s="98" t="s">
        <v>266</v>
      </c>
      <c r="F288" s="41">
        <f>1515.6-69.6</f>
        <v>1446</v>
      </c>
      <c r="G288" s="41">
        <v>1446</v>
      </c>
      <c r="H288" s="93">
        <f t="shared" si="40"/>
        <v>100</v>
      </c>
    </row>
    <row r="289" spans="1:8" ht="39.6" x14ac:dyDescent="0.25">
      <c r="A289" s="16" t="s">
        <v>94</v>
      </c>
      <c r="B289" s="16" t="s">
        <v>88</v>
      </c>
      <c r="C289" s="82" t="s">
        <v>25</v>
      </c>
      <c r="D289" s="82"/>
      <c r="E289" s="98" t="s">
        <v>39</v>
      </c>
      <c r="F289" s="41">
        <f>F290</f>
        <v>50</v>
      </c>
      <c r="G289" s="41">
        <f t="shared" ref="G289" si="55">G290</f>
        <v>0</v>
      </c>
      <c r="H289" s="93">
        <f t="shared" si="40"/>
        <v>0</v>
      </c>
    </row>
    <row r="290" spans="1:8" ht="52.8" x14ac:dyDescent="0.25">
      <c r="A290" s="16" t="s">
        <v>94</v>
      </c>
      <c r="B290" s="16" t="s">
        <v>88</v>
      </c>
      <c r="C290" s="82" t="s">
        <v>555</v>
      </c>
      <c r="D290" s="16"/>
      <c r="E290" s="54" t="s">
        <v>554</v>
      </c>
      <c r="F290" s="41">
        <f>SUM(F291:F291)</f>
        <v>50</v>
      </c>
      <c r="G290" s="41">
        <f>SUM(G291:G291)</f>
        <v>0</v>
      </c>
      <c r="H290" s="93">
        <f t="shared" si="40"/>
        <v>0</v>
      </c>
    </row>
    <row r="291" spans="1:8" ht="39.6" x14ac:dyDescent="0.25">
      <c r="A291" s="16" t="s">
        <v>94</v>
      </c>
      <c r="B291" s="16" t="s">
        <v>88</v>
      </c>
      <c r="C291" s="82" t="s">
        <v>555</v>
      </c>
      <c r="D291" s="82" t="s">
        <v>205</v>
      </c>
      <c r="E291" s="97" t="s">
        <v>206</v>
      </c>
      <c r="F291" s="39">
        <v>50</v>
      </c>
      <c r="G291" s="39">
        <v>0</v>
      </c>
      <c r="H291" s="93">
        <f t="shared" ref="H291:H338" si="56">ROUND((G291/F291*100),1)</f>
        <v>0</v>
      </c>
    </row>
    <row r="292" spans="1:8" ht="14.4" x14ac:dyDescent="0.3">
      <c r="A292" s="30" t="s">
        <v>94</v>
      </c>
      <c r="B292" s="30" t="s">
        <v>92</v>
      </c>
      <c r="C292" s="30"/>
      <c r="D292" s="30"/>
      <c r="E292" s="27" t="s">
        <v>49</v>
      </c>
      <c r="F292" s="40">
        <f>F293+F299+F328+F336</f>
        <v>52031.9</v>
      </c>
      <c r="G292" s="40">
        <f>G293+G299+G328+G336</f>
        <v>50608.399999999994</v>
      </c>
      <c r="H292" s="42">
        <f t="shared" si="40"/>
        <v>97.3</v>
      </c>
    </row>
    <row r="293" spans="1:8" ht="92.4" x14ac:dyDescent="0.25">
      <c r="A293" s="5" t="s">
        <v>94</v>
      </c>
      <c r="B293" s="5" t="s">
        <v>92</v>
      </c>
      <c r="C293" s="78" t="s">
        <v>66</v>
      </c>
      <c r="D293" s="16"/>
      <c r="E293" s="63" t="s">
        <v>561</v>
      </c>
      <c r="F293" s="95">
        <f t="shared" ref="F293:G293" si="57">F294</f>
        <v>524.5</v>
      </c>
      <c r="G293" s="95">
        <f t="shared" si="57"/>
        <v>520.9</v>
      </c>
      <c r="H293" s="62">
        <f t="shared" si="40"/>
        <v>99.3</v>
      </c>
    </row>
    <row r="294" spans="1:8" ht="52.8" x14ac:dyDescent="0.25">
      <c r="A294" s="47" t="s">
        <v>94</v>
      </c>
      <c r="B294" s="47" t="s">
        <v>92</v>
      </c>
      <c r="C294" s="77" t="s">
        <v>67</v>
      </c>
      <c r="D294" s="16"/>
      <c r="E294" s="60" t="s">
        <v>483</v>
      </c>
      <c r="F294" s="92">
        <f>F295+F297</f>
        <v>524.5</v>
      </c>
      <c r="G294" s="92">
        <f t="shared" ref="G294" si="58">G295+G297</f>
        <v>520.9</v>
      </c>
      <c r="H294" s="93">
        <f t="shared" si="40"/>
        <v>99.3</v>
      </c>
    </row>
    <row r="295" spans="1:8" ht="39.6" x14ac:dyDescent="0.25">
      <c r="A295" s="82" t="s">
        <v>94</v>
      </c>
      <c r="B295" s="82" t="s">
        <v>92</v>
      </c>
      <c r="C295" s="135" t="s">
        <v>481</v>
      </c>
      <c r="D295" s="16"/>
      <c r="E295" s="97" t="s">
        <v>589</v>
      </c>
      <c r="F295" s="41">
        <f t="shared" ref="F295:G295" si="59">F296</f>
        <v>515.5</v>
      </c>
      <c r="G295" s="41">
        <f t="shared" si="59"/>
        <v>515.5</v>
      </c>
      <c r="H295" s="93">
        <f t="shared" si="40"/>
        <v>100</v>
      </c>
    </row>
    <row r="296" spans="1:8" ht="39.6" x14ac:dyDescent="0.25">
      <c r="A296" s="82" t="s">
        <v>94</v>
      </c>
      <c r="B296" s="82" t="s">
        <v>92</v>
      </c>
      <c r="C296" s="135" t="s">
        <v>481</v>
      </c>
      <c r="D296" s="82" t="s">
        <v>205</v>
      </c>
      <c r="E296" s="97" t="s">
        <v>206</v>
      </c>
      <c r="F296" s="41">
        <f>520.3+300-304.8</f>
        <v>515.5</v>
      </c>
      <c r="G296" s="41">
        <v>515.5</v>
      </c>
      <c r="H296" s="93">
        <f t="shared" si="40"/>
        <v>100</v>
      </c>
    </row>
    <row r="297" spans="1:8" ht="39.6" x14ac:dyDescent="0.25">
      <c r="A297" s="82" t="s">
        <v>94</v>
      </c>
      <c r="B297" s="82" t="s">
        <v>92</v>
      </c>
      <c r="C297" s="135" t="s">
        <v>535</v>
      </c>
      <c r="D297" s="82"/>
      <c r="E297" s="97" t="s">
        <v>536</v>
      </c>
      <c r="F297" s="41">
        <f>F298</f>
        <v>9</v>
      </c>
      <c r="G297" s="41">
        <f t="shared" ref="G297" si="60">G298</f>
        <v>5.4</v>
      </c>
      <c r="H297" s="93">
        <f t="shared" si="40"/>
        <v>60</v>
      </c>
    </row>
    <row r="298" spans="1:8" ht="39.6" x14ac:dyDescent="0.25">
      <c r="A298" s="82" t="s">
        <v>94</v>
      </c>
      <c r="B298" s="82" t="s">
        <v>92</v>
      </c>
      <c r="C298" s="135" t="s">
        <v>535</v>
      </c>
      <c r="D298" s="82" t="s">
        <v>205</v>
      </c>
      <c r="E298" s="97" t="s">
        <v>206</v>
      </c>
      <c r="F298" s="41">
        <v>9</v>
      </c>
      <c r="G298" s="41">
        <v>5.4</v>
      </c>
      <c r="H298" s="93">
        <f t="shared" si="40"/>
        <v>60</v>
      </c>
    </row>
    <row r="299" spans="1:8" ht="92.4" x14ac:dyDescent="0.25">
      <c r="A299" s="5" t="s">
        <v>94</v>
      </c>
      <c r="B299" s="5" t="s">
        <v>92</v>
      </c>
      <c r="C299" s="73" t="s">
        <v>56</v>
      </c>
      <c r="D299" s="16"/>
      <c r="E299" s="53" t="s">
        <v>571</v>
      </c>
      <c r="F299" s="95">
        <f>F300+F310+F313+F321</f>
        <v>30614.400000000001</v>
      </c>
      <c r="G299" s="95">
        <f>G300+G310+G313+G321</f>
        <v>29379.8</v>
      </c>
      <c r="H299" s="62">
        <f t="shared" si="40"/>
        <v>96</v>
      </c>
    </row>
    <row r="300" spans="1:8" ht="39.6" x14ac:dyDescent="0.25">
      <c r="A300" s="82" t="s">
        <v>94</v>
      </c>
      <c r="B300" s="82" t="s">
        <v>92</v>
      </c>
      <c r="C300" s="52" t="s">
        <v>57</v>
      </c>
      <c r="D300" s="47"/>
      <c r="E300" s="48" t="s">
        <v>597</v>
      </c>
      <c r="F300" s="92">
        <f>F301+F303+F306+F308</f>
        <v>10813.7</v>
      </c>
      <c r="G300" s="92">
        <f t="shared" ref="G300" si="61">G301+G303+G306+G308</f>
        <v>10734.499999999998</v>
      </c>
      <c r="H300" s="58">
        <f t="shared" si="40"/>
        <v>99.3</v>
      </c>
    </row>
    <row r="301" spans="1:8" ht="39.6" x14ac:dyDescent="0.25">
      <c r="A301" s="16" t="s">
        <v>94</v>
      </c>
      <c r="B301" s="82" t="s">
        <v>92</v>
      </c>
      <c r="C301" s="74">
        <v>1210123505</v>
      </c>
      <c r="D301" s="21"/>
      <c r="E301" s="97" t="s">
        <v>507</v>
      </c>
      <c r="F301" s="41">
        <f>F302</f>
        <v>4068.2000000000003</v>
      </c>
      <c r="G301" s="41">
        <f>G302</f>
        <v>3995</v>
      </c>
      <c r="H301" s="93">
        <f t="shared" si="40"/>
        <v>98.2</v>
      </c>
    </row>
    <row r="302" spans="1:8" ht="39.6" x14ac:dyDescent="0.25">
      <c r="A302" s="82" t="s">
        <v>94</v>
      </c>
      <c r="B302" s="82" t="s">
        <v>92</v>
      </c>
      <c r="C302" s="74">
        <v>1210123505</v>
      </c>
      <c r="D302" s="82" t="s">
        <v>205</v>
      </c>
      <c r="E302" s="97" t="s">
        <v>206</v>
      </c>
      <c r="F302" s="39">
        <f>4057.1+14.3-3.2</f>
        <v>4068.2000000000003</v>
      </c>
      <c r="G302" s="39">
        <v>3995</v>
      </c>
      <c r="H302" s="93">
        <f t="shared" si="40"/>
        <v>98.2</v>
      </c>
    </row>
    <row r="303" spans="1:8" ht="66" x14ac:dyDescent="0.25">
      <c r="A303" s="82" t="s">
        <v>94</v>
      </c>
      <c r="B303" s="82" t="s">
        <v>92</v>
      </c>
      <c r="C303" s="74">
        <v>1210123510</v>
      </c>
      <c r="D303" s="21"/>
      <c r="E303" s="97" t="s">
        <v>232</v>
      </c>
      <c r="F303" s="41">
        <f>SUM(F304:F305)</f>
        <v>5263.6</v>
      </c>
      <c r="G303" s="41">
        <f t="shared" ref="G303" si="62">SUM(G304:G305)</f>
        <v>5257.5999999999995</v>
      </c>
      <c r="H303" s="93">
        <f t="shared" si="56"/>
        <v>99.9</v>
      </c>
    </row>
    <row r="304" spans="1:8" ht="39.6" x14ac:dyDescent="0.25">
      <c r="A304" s="16" t="s">
        <v>94</v>
      </c>
      <c r="B304" s="82" t="s">
        <v>92</v>
      </c>
      <c r="C304" s="74">
        <v>1210123510</v>
      </c>
      <c r="D304" s="82" t="s">
        <v>205</v>
      </c>
      <c r="E304" s="97" t="s">
        <v>206</v>
      </c>
      <c r="F304" s="41">
        <f>5538.8-14.3-63.9-0.2-218+15+6</f>
        <v>5263.4000000000005</v>
      </c>
      <c r="G304" s="41">
        <v>5257.4</v>
      </c>
      <c r="H304" s="93">
        <f t="shared" si="56"/>
        <v>99.9</v>
      </c>
    </row>
    <row r="305" spans="1:8" x14ac:dyDescent="0.25">
      <c r="A305" s="16" t="s">
        <v>94</v>
      </c>
      <c r="B305" s="82" t="s">
        <v>92</v>
      </c>
      <c r="C305" s="74">
        <v>1210123510</v>
      </c>
      <c r="D305" s="82" t="s">
        <v>652</v>
      </c>
      <c r="E305" s="97" t="s">
        <v>653</v>
      </c>
      <c r="F305" s="41">
        <v>0.2</v>
      </c>
      <c r="G305" s="41">
        <v>0.2</v>
      </c>
      <c r="H305" s="93">
        <f t="shared" si="56"/>
        <v>100</v>
      </c>
    </row>
    <row r="306" spans="1:8" ht="26.4" x14ac:dyDescent="0.25">
      <c r="A306" s="82" t="s">
        <v>94</v>
      </c>
      <c r="B306" s="82" t="s">
        <v>92</v>
      </c>
      <c r="C306" s="74">
        <v>1210123515</v>
      </c>
      <c r="D306" s="16"/>
      <c r="E306" s="97" t="s">
        <v>23</v>
      </c>
      <c r="F306" s="41">
        <f>F307</f>
        <v>1131.9000000000001</v>
      </c>
      <c r="G306" s="41">
        <f>G307</f>
        <v>1131.9000000000001</v>
      </c>
      <c r="H306" s="93">
        <f t="shared" si="56"/>
        <v>100</v>
      </c>
    </row>
    <row r="307" spans="1:8" ht="39.6" x14ac:dyDescent="0.25">
      <c r="A307" s="82" t="s">
        <v>94</v>
      </c>
      <c r="B307" s="82" t="s">
        <v>92</v>
      </c>
      <c r="C307" s="74">
        <v>1210123515</v>
      </c>
      <c r="D307" s="82" t="s">
        <v>205</v>
      </c>
      <c r="E307" s="97" t="s">
        <v>206</v>
      </c>
      <c r="F307" s="41">
        <v>1131.9000000000001</v>
      </c>
      <c r="G307" s="41">
        <v>1131.9000000000001</v>
      </c>
      <c r="H307" s="93">
        <f t="shared" si="56"/>
        <v>100</v>
      </c>
    </row>
    <row r="308" spans="1:8" ht="26.4" x14ac:dyDescent="0.25">
      <c r="A308" s="16" t="s">
        <v>94</v>
      </c>
      <c r="B308" s="82" t="s">
        <v>92</v>
      </c>
      <c r="C308" s="74">
        <v>1210223520</v>
      </c>
      <c r="D308" s="16"/>
      <c r="E308" s="97" t="s">
        <v>233</v>
      </c>
      <c r="F308" s="41">
        <f>F309</f>
        <v>350</v>
      </c>
      <c r="G308" s="41">
        <f>G309</f>
        <v>350</v>
      </c>
      <c r="H308" s="93">
        <f t="shared" si="56"/>
        <v>100</v>
      </c>
    </row>
    <row r="309" spans="1:8" ht="39.6" x14ac:dyDescent="0.25">
      <c r="A309" s="82" t="s">
        <v>94</v>
      </c>
      <c r="B309" s="82" t="s">
        <v>92</v>
      </c>
      <c r="C309" s="74">
        <v>1210223520</v>
      </c>
      <c r="D309" s="82" t="s">
        <v>205</v>
      </c>
      <c r="E309" s="97" t="s">
        <v>206</v>
      </c>
      <c r="F309" s="39">
        <v>350</v>
      </c>
      <c r="G309" s="39">
        <v>350</v>
      </c>
      <c r="H309" s="93">
        <f t="shared" si="56"/>
        <v>100</v>
      </c>
    </row>
    <row r="310" spans="1:8" ht="26.4" x14ac:dyDescent="0.25">
      <c r="A310" s="82" t="s">
        <v>94</v>
      </c>
      <c r="B310" s="82" t="s">
        <v>92</v>
      </c>
      <c r="C310" s="52" t="s">
        <v>58</v>
      </c>
      <c r="D310" s="47"/>
      <c r="E310" s="48" t="s">
        <v>26</v>
      </c>
      <c r="F310" s="92">
        <f>F311</f>
        <v>1963.8</v>
      </c>
      <c r="G310" s="92">
        <f>G311</f>
        <v>1922.2</v>
      </c>
      <c r="H310" s="93">
        <f t="shared" si="56"/>
        <v>97.9</v>
      </c>
    </row>
    <row r="311" spans="1:8" ht="26.4" x14ac:dyDescent="0.25">
      <c r="A311" s="82" t="s">
        <v>94</v>
      </c>
      <c r="B311" s="82" t="s">
        <v>92</v>
      </c>
      <c r="C311" s="79">
        <v>1220123525</v>
      </c>
      <c r="D311" s="16"/>
      <c r="E311" s="97" t="s">
        <v>185</v>
      </c>
      <c r="F311" s="41">
        <f t="shared" ref="F311:G311" si="63">F312</f>
        <v>1963.8</v>
      </c>
      <c r="G311" s="41">
        <f t="shared" si="63"/>
        <v>1922.2</v>
      </c>
      <c r="H311" s="93">
        <f t="shared" si="56"/>
        <v>97.9</v>
      </c>
    </row>
    <row r="312" spans="1:8" ht="39.6" x14ac:dyDescent="0.25">
      <c r="A312" s="82" t="s">
        <v>94</v>
      </c>
      <c r="B312" s="82" t="s">
        <v>92</v>
      </c>
      <c r="C312" s="79">
        <v>1220123525</v>
      </c>
      <c r="D312" s="82" t="s">
        <v>205</v>
      </c>
      <c r="E312" s="97" t="s">
        <v>206</v>
      </c>
      <c r="F312" s="41">
        <f>1972.7-8.9</f>
        <v>1963.8</v>
      </c>
      <c r="G312" s="41">
        <v>1922.2</v>
      </c>
      <c r="H312" s="93">
        <f t="shared" si="56"/>
        <v>97.9</v>
      </c>
    </row>
    <row r="313" spans="1:8" ht="41.25" customHeight="1" x14ac:dyDescent="0.25">
      <c r="A313" s="82" t="s">
        <v>94</v>
      </c>
      <c r="B313" s="82" t="s">
        <v>92</v>
      </c>
      <c r="C313" s="52" t="s">
        <v>59</v>
      </c>
      <c r="D313" s="47"/>
      <c r="E313" s="48" t="s">
        <v>598</v>
      </c>
      <c r="F313" s="92">
        <f>F314+F317+F319</f>
        <v>4668.4000000000005</v>
      </c>
      <c r="G313" s="92">
        <f t="shared" ref="G313" si="64">G314+G317+G319</f>
        <v>4106.3999999999996</v>
      </c>
      <c r="H313" s="58">
        <f t="shared" si="56"/>
        <v>88</v>
      </c>
    </row>
    <row r="314" spans="1:8" ht="26.4" x14ac:dyDescent="0.25">
      <c r="A314" s="82" t="s">
        <v>94</v>
      </c>
      <c r="B314" s="82" t="s">
        <v>92</v>
      </c>
      <c r="C314" s="21" t="s">
        <v>508</v>
      </c>
      <c r="D314" s="16"/>
      <c r="E314" s="97" t="s">
        <v>298</v>
      </c>
      <c r="F314" s="41">
        <f>SUM(F315:F316)</f>
        <v>3681.3</v>
      </c>
      <c r="G314" s="41">
        <f>SUM(G315:G316)</f>
        <v>3140.1</v>
      </c>
      <c r="H314" s="93">
        <f t="shared" si="56"/>
        <v>85.3</v>
      </c>
    </row>
    <row r="315" spans="1:8" ht="39.6" x14ac:dyDescent="0.25">
      <c r="A315" s="82" t="s">
        <v>94</v>
      </c>
      <c r="B315" s="82" t="s">
        <v>92</v>
      </c>
      <c r="C315" s="21" t="s">
        <v>508</v>
      </c>
      <c r="D315" s="82" t="s">
        <v>205</v>
      </c>
      <c r="E315" s="97" t="s">
        <v>206</v>
      </c>
      <c r="F315" s="41">
        <f>3681.3-0.6</f>
        <v>3680.7000000000003</v>
      </c>
      <c r="G315" s="41">
        <v>3139.5</v>
      </c>
      <c r="H315" s="93">
        <f t="shared" si="56"/>
        <v>85.3</v>
      </c>
    </row>
    <row r="316" spans="1:8" x14ac:dyDescent="0.25">
      <c r="A316" s="82" t="s">
        <v>94</v>
      </c>
      <c r="B316" s="82" t="s">
        <v>92</v>
      </c>
      <c r="C316" s="21" t="s">
        <v>508</v>
      </c>
      <c r="D316" s="82" t="s">
        <v>652</v>
      </c>
      <c r="E316" s="97" t="s">
        <v>653</v>
      </c>
      <c r="F316" s="41">
        <v>0.6</v>
      </c>
      <c r="G316" s="41">
        <v>0.6</v>
      </c>
      <c r="H316" s="93">
        <f t="shared" si="56"/>
        <v>100</v>
      </c>
    </row>
    <row r="317" spans="1:8" ht="26.4" x14ac:dyDescent="0.25">
      <c r="A317" s="82" t="s">
        <v>94</v>
      </c>
      <c r="B317" s="82" t="s">
        <v>92</v>
      </c>
      <c r="C317" s="21" t="s">
        <v>509</v>
      </c>
      <c r="D317" s="16"/>
      <c r="E317" s="97" t="s">
        <v>24</v>
      </c>
      <c r="F317" s="41">
        <f>F318</f>
        <v>980.1</v>
      </c>
      <c r="G317" s="41">
        <f>G318</f>
        <v>959.3</v>
      </c>
      <c r="H317" s="93">
        <f t="shared" si="56"/>
        <v>97.9</v>
      </c>
    </row>
    <row r="318" spans="1:8" ht="39.6" x14ac:dyDescent="0.25">
      <c r="A318" s="82" t="s">
        <v>94</v>
      </c>
      <c r="B318" s="82" t="s">
        <v>92</v>
      </c>
      <c r="C318" s="21" t="s">
        <v>509</v>
      </c>
      <c r="D318" s="82" t="s">
        <v>205</v>
      </c>
      <c r="E318" s="97" t="s">
        <v>206</v>
      </c>
      <c r="F318" s="41">
        <f>600+380.1</f>
        <v>980.1</v>
      </c>
      <c r="G318" s="41">
        <v>959.3</v>
      </c>
      <c r="H318" s="93">
        <f t="shared" si="56"/>
        <v>97.9</v>
      </c>
    </row>
    <row r="319" spans="1:8" ht="26.4" x14ac:dyDescent="0.25">
      <c r="A319" s="82" t="s">
        <v>94</v>
      </c>
      <c r="B319" s="82" t="s">
        <v>92</v>
      </c>
      <c r="C319" s="21" t="s">
        <v>510</v>
      </c>
      <c r="D319" s="16"/>
      <c r="E319" s="97" t="s">
        <v>186</v>
      </c>
      <c r="F319" s="41">
        <f>F320</f>
        <v>7</v>
      </c>
      <c r="G319" s="41">
        <f>G320</f>
        <v>7</v>
      </c>
      <c r="H319" s="93">
        <f t="shared" si="56"/>
        <v>100</v>
      </c>
    </row>
    <row r="320" spans="1:8" ht="39.6" x14ac:dyDescent="0.25">
      <c r="A320" s="82" t="s">
        <v>94</v>
      </c>
      <c r="B320" s="82" t="s">
        <v>92</v>
      </c>
      <c r="C320" s="21" t="s">
        <v>510</v>
      </c>
      <c r="D320" s="82" t="s">
        <v>205</v>
      </c>
      <c r="E320" s="97" t="s">
        <v>206</v>
      </c>
      <c r="F320" s="41">
        <v>7</v>
      </c>
      <c r="G320" s="41">
        <v>7</v>
      </c>
      <c r="H320" s="93">
        <f t="shared" si="56"/>
        <v>100</v>
      </c>
    </row>
    <row r="321" spans="1:8" ht="52.8" x14ac:dyDescent="0.25">
      <c r="A321" s="82" t="s">
        <v>94</v>
      </c>
      <c r="B321" s="82" t="s">
        <v>92</v>
      </c>
      <c r="C321" s="52" t="s">
        <v>511</v>
      </c>
      <c r="D321" s="16"/>
      <c r="E321" s="60" t="s">
        <v>512</v>
      </c>
      <c r="F321" s="92">
        <f>F322+F324+F326</f>
        <v>13168.5</v>
      </c>
      <c r="G321" s="92">
        <f>G322+G324+G326</f>
        <v>12616.7</v>
      </c>
      <c r="H321" s="58">
        <f t="shared" si="56"/>
        <v>95.8</v>
      </c>
    </row>
    <row r="322" spans="1:8" ht="39.6" x14ac:dyDescent="0.25">
      <c r="A322" s="82" t="s">
        <v>94</v>
      </c>
      <c r="B322" s="82" t="s">
        <v>92</v>
      </c>
      <c r="C322" s="21" t="s">
        <v>601</v>
      </c>
      <c r="D322" s="16"/>
      <c r="E322" s="98" t="s">
        <v>602</v>
      </c>
      <c r="F322" s="41">
        <f>F323</f>
        <v>962.9</v>
      </c>
      <c r="G322" s="41">
        <f t="shared" ref="G322" si="65">G323</f>
        <v>845.5</v>
      </c>
      <c r="H322" s="93">
        <f t="shared" si="56"/>
        <v>87.8</v>
      </c>
    </row>
    <row r="323" spans="1:8" ht="39.6" x14ac:dyDescent="0.25">
      <c r="A323" s="16" t="s">
        <v>94</v>
      </c>
      <c r="B323" s="16" t="s">
        <v>92</v>
      </c>
      <c r="C323" s="21" t="s">
        <v>601</v>
      </c>
      <c r="D323" s="82" t="s">
        <v>205</v>
      </c>
      <c r="E323" s="97" t="s">
        <v>206</v>
      </c>
      <c r="F323" s="41">
        <f>799.5+163.4</f>
        <v>962.9</v>
      </c>
      <c r="G323" s="41">
        <v>845.5</v>
      </c>
      <c r="H323" s="93">
        <f t="shared" si="56"/>
        <v>87.8</v>
      </c>
    </row>
    <row r="324" spans="1:8" ht="39.6" x14ac:dyDescent="0.25">
      <c r="A324" s="16" t="s">
        <v>94</v>
      </c>
      <c r="B324" s="16" t="s">
        <v>92</v>
      </c>
      <c r="C324" s="21" t="s">
        <v>516</v>
      </c>
      <c r="D324" s="82"/>
      <c r="E324" s="97" t="s">
        <v>519</v>
      </c>
      <c r="F324" s="41">
        <f t="shared" ref="F324:G324" si="66">F325</f>
        <v>9200</v>
      </c>
      <c r="G324" s="41">
        <f t="shared" si="66"/>
        <v>9007.1</v>
      </c>
      <c r="H324" s="93">
        <f t="shared" si="56"/>
        <v>97.9</v>
      </c>
    </row>
    <row r="325" spans="1:8" ht="39.6" x14ac:dyDescent="0.25">
      <c r="A325" s="16" t="s">
        <v>94</v>
      </c>
      <c r="B325" s="16" t="s">
        <v>92</v>
      </c>
      <c r="C325" s="21" t="s">
        <v>516</v>
      </c>
      <c r="D325" s="82" t="s">
        <v>205</v>
      </c>
      <c r="E325" s="97" t="s">
        <v>206</v>
      </c>
      <c r="F325" s="41">
        <v>9200</v>
      </c>
      <c r="G325" s="41">
        <v>9007.1</v>
      </c>
      <c r="H325" s="93">
        <f t="shared" si="56"/>
        <v>97.9</v>
      </c>
    </row>
    <row r="326" spans="1:8" ht="26.4" x14ac:dyDescent="0.25">
      <c r="A326" s="16" t="s">
        <v>94</v>
      </c>
      <c r="B326" s="16" t="s">
        <v>92</v>
      </c>
      <c r="C326" s="21" t="s">
        <v>517</v>
      </c>
      <c r="D326" s="82"/>
      <c r="E326" s="97" t="s">
        <v>518</v>
      </c>
      <c r="F326" s="41">
        <f>F327</f>
        <v>3005.6</v>
      </c>
      <c r="G326" s="41">
        <f t="shared" ref="G326" si="67">G327</f>
        <v>2764.1</v>
      </c>
      <c r="H326" s="93">
        <f t="shared" si="56"/>
        <v>92</v>
      </c>
    </row>
    <row r="327" spans="1:8" ht="39.6" x14ac:dyDescent="0.25">
      <c r="A327" s="16" t="s">
        <v>94</v>
      </c>
      <c r="B327" s="16" t="s">
        <v>92</v>
      </c>
      <c r="C327" s="21" t="s">
        <v>517</v>
      </c>
      <c r="D327" s="82" t="s">
        <v>205</v>
      </c>
      <c r="E327" s="97" t="s">
        <v>206</v>
      </c>
      <c r="F327" s="41">
        <f>3256.7-251.1</f>
        <v>3005.6</v>
      </c>
      <c r="G327" s="41">
        <v>2764.1</v>
      </c>
      <c r="H327" s="93">
        <f t="shared" si="56"/>
        <v>92</v>
      </c>
    </row>
    <row r="328" spans="1:8" ht="92.4" x14ac:dyDescent="0.25">
      <c r="A328" s="5" t="s">
        <v>94</v>
      </c>
      <c r="B328" s="5" t="s">
        <v>92</v>
      </c>
      <c r="C328" s="76">
        <v>1400000000</v>
      </c>
      <c r="D328" s="16"/>
      <c r="E328" s="139" t="s">
        <v>573</v>
      </c>
      <c r="F328" s="95">
        <f>F329</f>
        <v>18211.099999999999</v>
      </c>
      <c r="G328" s="95">
        <f>G329</f>
        <v>18057</v>
      </c>
      <c r="H328" s="62">
        <f t="shared" si="56"/>
        <v>99.2</v>
      </c>
    </row>
    <row r="329" spans="1:8" ht="92.4" x14ac:dyDescent="0.25">
      <c r="A329" s="47" t="s">
        <v>94</v>
      </c>
      <c r="B329" s="47" t="s">
        <v>92</v>
      </c>
      <c r="C329" s="75">
        <v>1410000000</v>
      </c>
      <c r="D329" s="16"/>
      <c r="E329" s="48" t="s">
        <v>210</v>
      </c>
      <c r="F329" s="92">
        <f>F330+F332+F334</f>
        <v>18211.099999999999</v>
      </c>
      <c r="G329" s="92">
        <f t="shared" ref="G329" si="68">G330+G332+G334</f>
        <v>18057</v>
      </c>
      <c r="H329" s="58">
        <f t="shared" si="56"/>
        <v>99.2</v>
      </c>
    </row>
    <row r="330" spans="1:8" ht="39.6" x14ac:dyDescent="0.25">
      <c r="A330" s="82" t="s">
        <v>94</v>
      </c>
      <c r="B330" s="82" t="s">
        <v>92</v>
      </c>
      <c r="C330" s="74">
        <v>1410223125</v>
      </c>
      <c r="D330" s="82"/>
      <c r="E330" s="97" t="s">
        <v>648</v>
      </c>
      <c r="F330" s="41">
        <f>F331</f>
        <v>1289.7</v>
      </c>
      <c r="G330" s="41">
        <f>G331</f>
        <v>1208.8</v>
      </c>
      <c r="H330" s="93">
        <f t="shared" si="56"/>
        <v>93.7</v>
      </c>
    </row>
    <row r="331" spans="1:8" ht="39.6" x14ac:dyDescent="0.25">
      <c r="A331" s="82" t="s">
        <v>94</v>
      </c>
      <c r="B331" s="82" t="s">
        <v>92</v>
      </c>
      <c r="C331" s="74">
        <v>1410223125</v>
      </c>
      <c r="D331" s="82" t="s">
        <v>205</v>
      </c>
      <c r="E331" s="97" t="s">
        <v>206</v>
      </c>
      <c r="F331" s="41">
        <f>1237.5+58.2-6</f>
        <v>1289.7</v>
      </c>
      <c r="G331" s="41">
        <v>1208.8</v>
      </c>
      <c r="H331" s="93">
        <f t="shared" si="56"/>
        <v>93.7</v>
      </c>
    </row>
    <row r="332" spans="1:8" ht="26.4" x14ac:dyDescent="0.25">
      <c r="A332" s="82" t="s">
        <v>94</v>
      </c>
      <c r="B332" s="82" t="s">
        <v>92</v>
      </c>
      <c r="C332" s="74">
        <v>1410223130</v>
      </c>
      <c r="D332" s="82"/>
      <c r="E332" s="107" t="s">
        <v>651</v>
      </c>
      <c r="F332" s="41">
        <f>F333</f>
        <v>7279.8</v>
      </c>
      <c r="G332" s="41">
        <f t="shared" ref="G332" si="69">G333</f>
        <v>7279.8</v>
      </c>
      <c r="H332" s="93">
        <f t="shared" si="56"/>
        <v>100</v>
      </c>
    </row>
    <row r="333" spans="1:8" ht="39.6" x14ac:dyDescent="0.25">
      <c r="A333" s="82" t="s">
        <v>94</v>
      </c>
      <c r="B333" s="82" t="s">
        <v>92</v>
      </c>
      <c r="C333" s="74">
        <v>1410223130</v>
      </c>
      <c r="D333" s="82" t="s">
        <v>205</v>
      </c>
      <c r="E333" s="97" t="s">
        <v>206</v>
      </c>
      <c r="F333" s="39">
        <f>12198.1-4918.3</f>
        <v>7279.8</v>
      </c>
      <c r="G333" s="41">
        <v>7279.8</v>
      </c>
      <c r="H333" s="93">
        <f t="shared" si="56"/>
        <v>100</v>
      </c>
    </row>
    <row r="334" spans="1:8" ht="39.6" x14ac:dyDescent="0.25">
      <c r="A334" s="16" t="s">
        <v>94</v>
      </c>
      <c r="B334" s="16" t="s">
        <v>92</v>
      </c>
      <c r="C334" s="74" t="s">
        <v>347</v>
      </c>
      <c r="D334" s="16"/>
      <c r="E334" s="97" t="s">
        <v>313</v>
      </c>
      <c r="F334" s="41">
        <f>F335</f>
        <v>9641.6</v>
      </c>
      <c r="G334" s="41">
        <f>G335</f>
        <v>9568.4</v>
      </c>
      <c r="H334" s="93">
        <f t="shared" si="56"/>
        <v>99.2</v>
      </c>
    </row>
    <row r="335" spans="1:8" ht="39.6" x14ac:dyDescent="0.25">
      <c r="A335" s="82" t="s">
        <v>94</v>
      </c>
      <c r="B335" s="16" t="s">
        <v>92</v>
      </c>
      <c r="C335" s="74" t="s">
        <v>347</v>
      </c>
      <c r="D335" s="82" t="s">
        <v>205</v>
      </c>
      <c r="E335" s="97" t="s">
        <v>206</v>
      </c>
      <c r="F335" s="41">
        <f>717.4+8924.2</f>
        <v>9641.6</v>
      </c>
      <c r="G335" s="41">
        <v>9568.4</v>
      </c>
      <c r="H335" s="93">
        <f t="shared" si="56"/>
        <v>99.2</v>
      </c>
    </row>
    <row r="336" spans="1:8" ht="132" x14ac:dyDescent="0.25">
      <c r="A336" s="5" t="s">
        <v>94</v>
      </c>
      <c r="B336" s="5" t="s">
        <v>92</v>
      </c>
      <c r="C336" s="73" t="s">
        <v>533</v>
      </c>
      <c r="D336" s="82"/>
      <c r="E336" s="139" t="s">
        <v>574</v>
      </c>
      <c r="F336" s="95">
        <f>F337</f>
        <v>2681.9</v>
      </c>
      <c r="G336" s="95">
        <f t="shared" ref="G336" si="70">G337</f>
        <v>2650.7000000000003</v>
      </c>
      <c r="H336" s="62">
        <f t="shared" si="56"/>
        <v>98.8</v>
      </c>
    </row>
    <row r="337" spans="1:10" ht="66" x14ac:dyDescent="0.25">
      <c r="A337" s="47" t="s">
        <v>94</v>
      </c>
      <c r="B337" s="47" t="s">
        <v>92</v>
      </c>
      <c r="C337" s="138">
        <v>1510000000</v>
      </c>
      <c r="D337" s="82"/>
      <c r="E337" s="48" t="s">
        <v>357</v>
      </c>
      <c r="F337" s="92">
        <f>F338+F340+F342+F344+F346</f>
        <v>2681.9</v>
      </c>
      <c r="G337" s="92">
        <f>G338+G340+G342+G344+G346</f>
        <v>2650.7000000000003</v>
      </c>
      <c r="H337" s="58">
        <f t="shared" si="56"/>
        <v>98.8</v>
      </c>
    </row>
    <row r="338" spans="1:10" ht="66" x14ac:dyDescent="0.25">
      <c r="A338" s="82" t="s">
        <v>94</v>
      </c>
      <c r="B338" s="16" t="s">
        <v>92</v>
      </c>
      <c r="C338" s="127" t="s">
        <v>668</v>
      </c>
      <c r="D338" s="82"/>
      <c r="E338" s="155" t="s">
        <v>647</v>
      </c>
      <c r="F338" s="41">
        <f>F339</f>
        <v>516</v>
      </c>
      <c r="G338" s="41">
        <f t="shared" ref="G338" si="71">G339</f>
        <v>516</v>
      </c>
      <c r="H338" s="93">
        <f t="shared" si="56"/>
        <v>100</v>
      </c>
    </row>
    <row r="339" spans="1:10" ht="39.6" x14ac:dyDescent="0.25">
      <c r="A339" s="82" t="s">
        <v>94</v>
      </c>
      <c r="B339" s="16" t="s">
        <v>92</v>
      </c>
      <c r="C339" s="127" t="s">
        <v>668</v>
      </c>
      <c r="D339" s="82" t="s">
        <v>205</v>
      </c>
      <c r="E339" s="97" t="s">
        <v>206</v>
      </c>
      <c r="F339" s="41">
        <v>516</v>
      </c>
      <c r="G339" s="41">
        <v>516</v>
      </c>
      <c r="H339" s="93">
        <f t="shared" ref="H339:H340" si="72">ROUND((G339/F339*100),1)</f>
        <v>100</v>
      </c>
      <c r="J339" s="102"/>
    </row>
    <row r="340" spans="1:10" ht="66" x14ac:dyDescent="0.25">
      <c r="A340" s="82" t="s">
        <v>94</v>
      </c>
      <c r="B340" s="16" t="s">
        <v>92</v>
      </c>
      <c r="C340" s="127">
        <v>1510319022</v>
      </c>
      <c r="D340" s="82"/>
      <c r="E340" s="155" t="s">
        <v>647</v>
      </c>
      <c r="F340" s="41">
        <f>F341</f>
        <v>525.9</v>
      </c>
      <c r="G340" s="41">
        <f t="shared" ref="G340" si="73">G341</f>
        <v>525.9</v>
      </c>
      <c r="H340" s="93">
        <f t="shared" si="72"/>
        <v>100</v>
      </c>
    </row>
    <row r="341" spans="1:10" ht="39.6" x14ac:dyDescent="0.25">
      <c r="A341" s="82" t="s">
        <v>94</v>
      </c>
      <c r="B341" s="16" t="s">
        <v>92</v>
      </c>
      <c r="C341" s="127">
        <v>1510319022</v>
      </c>
      <c r="D341" s="82" t="s">
        <v>205</v>
      </c>
      <c r="E341" s="97" t="s">
        <v>206</v>
      </c>
      <c r="F341" s="41">
        <v>525.9</v>
      </c>
      <c r="G341" s="41">
        <v>525.9</v>
      </c>
      <c r="H341" s="93">
        <f t="shared" ref="H341:H390" si="74">ROUND((G341/F341*100),1)</f>
        <v>100</v>
      </c>
    </row>
    <row r="342" spans="1:10" ht="66" x14ac:dyDescent="0.25">
      <c r="A342" s="82" t="s">
        <v>94</v>
      </c>
      <c r="B342" s="16" t="s">
        <v>92</v>
      </c>
      <c r="C342" s="127">
        <v>1510319322</v>
      </c>
      <c r="D342" s="82"/>
      <c r="E342" s="155" t="s">
        <v>647</v>
      </c>
      <c r="F342" s="41">
        <f>F343</f>
        <v>10</v>
      </c>
      <c r="G342" s="41">
        <f t="shared" ref="G342" si="75">G343</f>
        <v>10</v>
      </c>
      <c r="H342" s="187">
        <f t="shared" si="74"/>
        <v>100</v>
      </c>
    </row>
    <row r="343" spans="1:10" ht="39.6" x14ac:dyDescent="0.25">
      <c r="A343" s="82" t="s">
        <v>94</v>
      </c>
      <c r="B343" s="16" t="s">
        <v>92</v>
      </c>
      <c r="C343" s="127">
        <v>1510319322</v>
      </c>
      <c r="D343" s="82" t="s">
        <v>205</v>
      </c>
      <c r="E343" s="97" t="s">
        <v>206</v>
      </c>
      <c r="F343" s="41">
        <v>10</v>
      </c>
      <c r="G343" s="41">
        <v>10</v>
      </c>
      <c r="H343" s="93">
        <f t="shared" si="74"/>
        <v>100</v>
      </c>
    </row>
    <row r="344" spans="1:10" ht="66" x14ac:dyDescent="0.25">
      <c r="A344" s="82" t="s">
        <v>94</v>
      </c>
      <c r="B344" s="16" t="s">
        <v>92</v>
      </c>
      <c r="C344" s="127" t="s">
        <v>689</v>
      </c>
      <c r="D344" s="82"/>
      <c r="E344" s="97" t="s">
        <v>688</v>
      </c>
      <c r="F344" s="41">
        <f>F345</f>
        <v>479.6</v>
      </c>
      <c r="G344" s="41">
        <f t="shared" ref="G344" si="76">G345</f>
        <v>448.4</v>
      </c>
      <c r="H344" s="93">
        <f t="shared" si="74"/>
        <v>93.5</v>
      </c>
    </row>
    <row r="345" spans="1:10" ht="39.6" x14ac:dyDescent="0.25">
      <c r="A345" s="82" t="s">
        <v>94</v>
      </c>
      <c r="B345" s="16" t="s">
        <v>92</v>
      </c>
      <c r="C345" s="127" t="s">
        <v>689</v>
      </c>
      <c r="D345" s="82" t="s">
        <v>205</v>
      </c>
      <c r="E345" s="97" t="s">
        <v>206</v>
      </c>
      <c r="F345" s="41">
        <v>479.6</v>
      </c>
      <c r="G345" s="41">
        <v>448.4</v>
      </c>
      <c r="H345" s="93">
        <f t="shared" si="74"/>
        <v>93.5</v>
      </c>
    </row>
    <row r="346" spans="1:10" ht="66" x14ac:dyDescent="0.25">
      <c r="A346" s="82" t="s">
        <v>94</v>
      </c>
      <c r="B346" s="16" t="s">
        <v>92</v>
      </c>
      <c r="C346" s="127">
        <v>1510319023</v>
      </c>
      <c r="D346" s="82"/>
      <c r="E346" s="97" t="s">
        <v>688</v>
      </c>
      <c r="F346" s="41">
        <f>F347</f>
        <v>1150.4000000000001</v>
      </c>
      <c r="G346" s="41">
        <f t="shared" ref="G346" si="77">G347</f>
        <v>1150.4000000000001</v>
      </c>
      <c r="H346" s="93">
        <f t="shared" si="74"/>
        <v>100</v>
      </c>
    </row>
    <row r="347" spans="1:10" ht="39.6" x14ac:dyDescent="0.25">
      <c r="A347" s="82" t="s">
        <v>94</v>
      </c>
      <c r="B347" s="16" t="s">
        <v>92</v>
      </c>
      <c r="C347" s="127">
        <v>1510319023</v>
      </c>
      <c r="D347" s="82" t="s">
        <v>205</v>
      </c>
      <c r="E347" s="97" t="s">
        <v>206</v>
      </c>
      <c r="F347" s="41">
        <f>1230.4-80</f>
        <v>1150.4000000000001</v>
      </c>
      <c r="G347" s="41">
        <v>1150.4000000000001</v>
      </c>
      <c r="H347" s="93">
        <f t="shared" si="74"/>
        <v>100</v>
      </c>
    </row>
    <row r="348" spans="1:10" ht="43.2" x14ac:dyDescent="0.3">
      <c r="A348" s="30" t="s">
        <v>94</v>
      </c>
      <c r="B348" s="30" t="s">
        <v>94</v>
      </c>
      <c r="C348" s="30"/>
      <c r="D348" s="30"/>
      <c r="E348" s="50" t="s">
        <v>471</v>
      </c>
      <c r="F348" s="92">
        <f>F349</f>
        <v>1564.1</v>
      </c>
      <c r="G348" s="92">
        <f>G349</f>
        <v>1562.1</v>
      </c>
      <c r="H348" s="42">
        <f t="shared" si="74"/>
        <v>99.9</v>
      </c>
    </row>
    <row r="349" spans="1:10" ht="66" x14ac:dyDescent="0.25">
      <c r="A349" s="5" t="s">
        <v>94</v>
      </c>
      <c r="B349" s="5" t="s">
        <v>94</v>
      </c>
      <c r="C349" s="76">
        <v>400000000</v>
      </c>
      <c r="D349" s="31"/>
      <c r="E349" s="64" t="s">
        <v>371</v>
      </c>
      <c r="F349" s="95">
        <f>F350</f>
        <v>1564.1</v>
      </c>
      <c r="G349" s="95">
        <f>G350</f>
        <v>1562.1</v>
      </c>
      <c r="H349" s="62">
        <f t="shared" si="74"/>
        <v>99.9</v>
      </c>
    </row>
    <row r="350" spans="1:10" ht="158.4" x14ac:dyDescent="0.25">
      <c r="A350" s="82" t="s">
        <v>94</v>
      </c>
      <c r="B350" s="82" t="s">
        <v>94</v>
      </c>
      <c r="C350" s="75">
        <v>430000000</v>
      </c>
      <c r="D350" s="16"/>
      <c r="E350" s="46" t="s">
        <v>470</v>
      </c>
      <c r="F350" s="39">
        <f>F351+F353</f>
        <v>1564.1</v>
      </c>
      <c r="G350" s="39">
        <f t="shared" ref="G350" si="78">G351+G353</f>
        <v>1562.1</v>
      </c>
      <c r="H350" s="93">
        <f t="shared" si="74"/>
        <v>99.9</v>
      </c>
    </row>
    <row r="351" spans="1:10" ht="118.8" x14ac:dyDescent="0.25">
      <c r="A351" s="82" t="s">
        <v>94</v>
      </c>
      <c r="B351" s="82" t="s">
        <v>94</v>
      </c>
      <c r="C351" s="79">
        <v>430127310</v>
      </c>
      <c r="D351" s="16"/>
      <c r="E351" s="97" t="s">
        <v>577</v>
      </c>
      <c r="F351" s="41">
        <f>F352</f>
        <v>1418.5</v>
      </c>
      <c r="G351" s="41">
        <f>G352</f>
        <v>1418.5</v>
      </c>
      <c r="H351" s="93">
        <f t="shared" si="74"/>
        <v>100</v>
      </c>
    </row>
    <row r="352" spans="1:10" ht="66" x14ac:dyDescent="0.25">
      <c r="A352" s="82" t="s">
        <v>94</v>
      </c>
      <c r="B352" s="82" t="s">
        <v>94</v>
      </c>
      <c r="C352" s="79">
        <v>430127310</v>
      </c>
      <c r="D352" s="16" t="s">
        <v>12</v>
      </c>
      <c r="E352" s="97" t="s">
        <v>315</v>
      </c>
      <c r="F352" s="41">
        <f>1000+339+79.5</f>
        <v>1418.5</v>
      </c>
      <c r="G352" s="41">
        <v>1418.5</v>
      </c>
      <c r="H352" s="93">
        <f t="shared" si="74"/>
        <v>100</v>
      </c>
    </row>
    <row r="353" spans="1:8" ht="118.8" x14ac:dyDescent="0.25">
      <c r="A353" s="82" t="s">
        <v>94</v>
      </c>
      <c r="B353" s="82" t="s">
        <v>94</v>
      </c>
      <c r="C353" s="79">
        <v>430127320</v>
      </c>
      <c r="D353" s="16"/>
      <c r="E353" s="97" t="s">
        <v>472</v>
      </c>
      <c r="F353" s="41">
        <f>F354</f>
        <v>145.60000000000002</v>
      </c>
      <c r="G353" s="41">
        <f t="shared" ref="G353" si="79">G354</f>
        <v>143.6</v>
      </c>
      <c r="H353" s="93">
        <f t="shared" si="74"/>
        <v>98.6</v>
      </c>
    </row>
    <row r="354" spans="1:8" ht="66" x14ac:dyDescent="0.25">
      <c r="A354" s="82" t="s">
        <v>94</v>
      </c>
      <c r="B354" s="82" t="s">
        <v>94</v>
      </c>
      <c r="C354" s="79">
        <v>430127320</v>
      </c>
      <c r="D354" s="16" t="s">
        <v>12</v>
      </c>
      <c r="E354" s="97" t="s">
        <v>315</v>
      </c>
      <c r="F354" s="41">
        <f>180.9-35.3</f>
        <v>145.60000000000002</v>
      </c>
      <c r="G354" s="41">
        <v>143.6</v>
      </c>
      <c r="H354" s="93">
        <f t="shared" si="74"/>
        <v>98.6</v>
      </c>
    </row>
    <row r="355" spans="1:8" ht="15.6" x14ac:dyDescent="0.3">
      <c r="A355" s="4" t="s">
        <v>103</v>
      </c>
      <c r="B355" s="3"/>
      <c r="C355" s="3"/>
      <c r="D355" s="3"/>
      <c r="E355" s="10" t="s">
        <v>104</v>
      </c>
      <c r="F355" s="91">
        <f>F356+F369+F407+F448+F453+F478</f>
        <v>658926.70000000007</v>
      </c>
      <c r="G355" s="91">
        <f>G356+G369+G407+G448+G453+G478</f>
        <v>658164.40000000014</v>
      </c>
      <c r="H355" s="186">
        <f t="shared" si="74"/>
        <v>99.9</v>
      </c>
    </row>
    <row r="356" spans="1:8" s="37" customFormat="1" ht="14.4" x14ac:dyDescent="0.3">
      <c r="A356" s="35" t="s">
        <v>103</v>
      </c>
      <c r="B356" s="35" t="s">
        <v>87</v>
      </c>
      <c r="C356" s="35"/>
      <c r="D356" s="35"/>
      <c r="E356" s="45" t="s">
        <v>106</v>
      </c>
      <c r="F356" s="58">
        <f>F357</f>
        <v>166549.4</v>
      </c>
      <c r="G356" s="58">
        <f t="shared" ref="G356" si="80">G357</f>
        <v>166504.50000000003</v>
      </c>
      <c r="H356" s="42">
        <f t="shared" si="74"/>
        <v>100</v>
      </c>
    </row>
    <row r="357" spans="1:8" ht="79.8" x14ac:dyDescent="0.3">
      <c r="A357" s="16" t="s">
        <v>103</v>
      </c>
      <c r="B357" s="16" t="s">
        <v>87</v>
      </c>
      <c r="C357" s="21" t="s">
        <v>74</v>
      </c>
      <c r="D357" s="35"/>
      <c r="E357" s="64" t="s">
        <v>559</v>
      </c>
      <c r="F357" s="62">
        <f t="shared" ref="F357:G357" si="81">F358</f>
        <v>166549.4</v>
      </c>
      <c r="G357" s="62">
        <f t="shared" si="81"/>
        <v>166504.50000000003</v>
      </c>
      <c r="H357" s="62">
        <f t="shared" si="74"/>
        <v>100</v>
      </c>
    </row>
    <row r="358" spans="1:8" ht="27" x14ac:dyDescent="0.3">
      <c r="A358" s="16" t="s">
        <v>103</v>
      </c>
      <c r="B358" s="16" t="s">
        <v>87</v>
      </c>
      <c r="C358" s="52" t="s">
        <v>75</v>
      </c>
      <c r="D358" s="35"/>
      <c r="E358" s="46" t="s">
        <v>384</v>
      </c>
      <c r="F358" s="93">
        <f>F359+F361+F367+F363+F365</f>
        <v>166549.4</v>
      </c>
      <c r="G358" s="58">
        <f>G359+G361+G367+G363+G365</f>
        <v>166504.50000000003</v>
      </c>
      <c r="H358" s="58">
        <f t="shared" si="74"/>
        <v>100</v>
      </c>
    </row>
    <row r="359" spans="1:8" ht="54.75" customHeight="1" x14ac:dyDescent="0.25">
      <c r="A359" s="56" t="s">
        <v>103</v>
      </c>
      <c r="B359" s="56" t="s">
        <v>87</v>
      </c>
      <c r="C359" s="21" t="s">
        <v>375</v>
      </c>
      <c r="D359" s="21"/>
      <c r="E359" s="97" t="s">
        <v>374</v>
      </c>
      <c r="F359" s="93">
        <f>F360</f>
        <v>94481.2</v>
      </c>
      <c r="G359" s="93">
        <f t="shared" ref="G359" si="82">G360</f>
        <v>94481.2</v>
      </c>
      <c r="H359" s="93">
        <f t="shared" si="74"/>
        <v>100</v>
      </c>
    </row>
    <row r="360" spans="1:8" x14ac:dyDescent="0.25">
      <c r="A360" s="56" t="s">
        <v>103</v>
      </c>
      <c r="B360" s="56" t="s">
        <v>87</v>
      </c>
      <c r="C360" s="21" t="s">
        <v>375</v>
      </c>
      <c r="D360" s="21" t="s">
        <v>219</v>
      </c>
      <c r="E360" s="97" t="s">
        <v>218</v>
      </c>
      <c r="F360" s="1">
        <f>88408.6+2099.9+3857.9+114.8</f>
        <v>94481.2</v>
      </c>
      <c r="G360" s="1">
        <v>94481.2</v>
      </c>
      <c r="H360" s="93">
        <f t="shared" si="74"/>
        <v>100</v>
      </c>
    </row>
    <row r="361" spans="1:8" ht="79.2" x14ac:dyDescent="0.25">
      <c r="A361" s="56" t="s">
        <v>103</v>
      </c>
      <c r="B361" s="56" t="s">
        <v>87</v>
      </c>
      <c r="C361" s="129" t="s">
        <v>377</v>
      </c>
      <c r="D361" s="21"/>
      <c r="E361" s="97" t="s">
        <v>376</v>
      </c>
      <c r="F361" s="93">
        <f>F362</f>
        <v>70711.999999999985</v>
      </c>
      <c r="G361" s="93">
        <f t="shared" ref="G361" si="83">G362</f>
        <v>70712</v>
      </c>
      <c r="H361" s="93">
        <f t="shared" si="74"/>
        <v>100</v>
      </c>
    </row>
    <row r="362" spans="1:8" ht="13.8" x14ac:dyDescent="0.25">
      <c r="A362" s="56" t="s">
        <v>103</v>
      </c>
      <c r="B362" s="56" t="s">
        <v>87</v>
      </c>
      <c r="C362" s="129" t="s">
        <v>377</v>
      </c>
      <c r="D362" s="21" t="s">
        <v>219</v>
      </c>
      <c r="E362" s="97" t="s">
        <v>218</v>
      </c>
      <c r="F362" s="93">
        <f>68790.2+2396.9-466.6-8.5</f>
        <v>70711.999999999985</v>
      </c>
      <c r="G362" s="93">
        <v>70712</v>
      </c>
      <c r="H362" s="93">
        <f t="shared" si="74"/>
        <v>100</v>
      </c>
    </row>
    <row r="363" spans="1:8" ht="66" x14ac:dyDescent="0.25">
      <c r="A363" s="56" t="s">
        <v>103</v>
      </c>
      <c r="B363" s="56" t="s">
        <v>87</v>
      </c>
      <c r="C363" s="159" t="s">
        <v>699</v>
      </c>
      <c r="D363" s="21"/>
      <c r="E363" s="97" t="s">
        <v>700</v>
      </c>
      <c r="F363" s="93">
        <f>F364</f>
        <v>845</v>
      </c>
      <c r="G363" s="93">
        <f t="shared" ref="G363" si="84">G364</f>
        <v>800.5</v>
      </c>
      <c r="H363" s="93">
        <f t="shared" si="74"/>
        <v>94.7</v>
      </c>
    </row>
    <row r="364" spans="1:8" ht="13.8" x14ac:dyDescent="0.25">
      <c r="A364" s="56" t="s">
        <v>103</v>
      </c>
      <c r="B364" s="56" t="s">
        <v>87</v>
      </c>
      <c r="C364" s="160" t="s">
        <v>699</v>
      </c>
      <c r="D364" s="21" t="s">
        <v>219</v>
      </c>
      <c r="E364" s="97" t="s">
        <v>218</v>
      </c>
      <c r="F364" s="39">
        <v>845</v>
      </c>
      <c r="G364" s="39">
        <v>800.5</v>
      </c>
      <c r="H364" s="93">
        <f t="shared" si="74"/>
        <v>94.7</v>
      </c>
    </row>
    <row r="365" spans="1:8" ht="79.2" x14ac:dyDescent="0.25">
      <c r="A365" s="56" t="s">
        <v>103</v>
      </c>
      <c r="B365" s="56" t="s">
        <v>87</v>
      </c>
      <c r="C365" s="159" t="s">
        <v>701</v>
      </c>
      <c r="D365" s="21"/>
      <c r="E365" s="107" t="s">
        <v>702</v>
      </c>
      <c r="F365" s="93">
        <f>F366</f>
        <v>8.5</v>
      </c>
      <c r="G365" s="93">
        <f t="shared" ref="G365" si="85">G366</f>
        <v>8.1</v>
      </c>
      <c r="H365" s="58">
        <f t="shared" si="74"/>
        <v>95.3</v>
      </c>
    </row>
    <row r="366" spans="1:8" ht="13.8" x14ac:dyDescent="0.25">
      <c r="A366" s="56" t="s">
        <v>103</v>
      </c>
      <c r="B366" s="56" t="s">
        <v>87</v>
      </c>
      <c r="C366" s="159" t="s">
        <v>701</v>
      </c>
      <c r="D366" s="21" t="s">
        <v>219</v>
      </c>
      <c r="E366" s="97" t="s">
        <v>218</v>
      </c>
      <c r="F366" s="1">
        <v>8.5</v>
      </c>
      <c r="G366" s="93">
        <v>8.1</v>
      </c>
      <c r="H366" s="93">
        <f t="shared" si="74"/>
        <v>95.3</v>
      </c>
    </row>
    <row r="367" spans="1:8" ht="49.5" customHeight="1" x14ac:dyDescent="0.25">
      <c r="A367" s="56" t="s">
        <v>103</v>
      </c>
      <c r="B367" s="56" t="s">
        <v>87</v>
      </c>
      <c r="C367" s="21" t="s">
        <v>380</v>
      </c>
      <c r="D367" s="57"/>
      <c r="E367" s="96" t="s">
        <v>379</v>
      </c>
      <c r="F367" s="93">
        <f>F368</f>
        <v>502.70000000000005</v>
      </c>
      <c r="G367" s="93">
        <f t="shared" ref="G367" si="86">G368</f>
        <v>502.7</v>
      </c>
      <c r="H367" s="93">
        <f t="shared" si="74"/>
        <v>100</v>
      </c>
    </row>
    <row r="368" spans="1:8" x14ac:dyDescent="0.25">
      <c r="A368" s="56" t="s">
        <v>103</v>
      </c>
      <c r="B368" s="56" t="s">
        <v>87</v>
      </c>
      <c r="C368" s="21" t="s">
        <v>380</v>
      </c>
      <c r="D368" s="21" t="s">
        <v>219</v>
      </c>
      <c r="E368" s="97" t="s">
        <v>218</v>
      </c>
      <c r="F368" s="93">
        <f>227.1+275.6</f>
        <v>502.70000000000005</v>
      </c>
      <c r="G368" s="93">
        <v>502.7</v>
      </c>
      <c r="H368" s="93">
        <f t="shared" si="74"/>
        <v>100</v>
      </c>
    </row>
    <row r="369" spans="1:11" s="37" customFormat="1" ht="14.4" x14ac:dyDescent="0.3">
      <c r="A369" s="35" t="s">
        <v>103</v>
      </c>
      <c r="B369" s="35" t="s">
        <v>88</v>
      </c>
      <c r="C369" s="35"/>
      <c r="D369" s="35"/>
      <c r="E369" s="45" t="s">
        <v>107</v>
      </c>
      <c r="F369" s="42">
        <f>F370+F404</f>
        <v>401662.80000000005</v>
      </c>
      <c r="G369" s="42">
        <f>G370+G404</f>
        <v>401632.7</v>
      </c>
      <c r="H369" s="42">
        <f t="shared" si="74"/>
        <v>100</v>
      </c>
    </row>
    <row r="370" spans="1:11" s="37" customFormat="1" ht="79.8" x14ac:dyDescent="0.3">
      <c r="A370" s="16" t="s">
        <v>103</v>
      </c>
      <c r="B370" s="16" t="s">
        <v>88</v>
      </c>
      <c r="C370" s="21" t="s">
        <v>74</v>
      </c>
      <c r="D370" s="35"/>
      <c r="E370" s="64" t="s">
        <v>559</v>
      </c>
      <c r="F370" s="65">
        <f t="shared" ref="F370:G370" si="87">F371</f>
        <v>401547.80000000005</v>
      </c>
      <c r="G370" s="65">
        <f t="shared" si="87"/>
        <v>401517.7</v>
      </c>
      <c r="H370" s="62">
        <f t="shared" si="74"/>
        <v>100</v>
      </c>
    </row>
    <row r="371" spans="1:11" s="37" customFormat="1" ht="36" customHeight="1" x14ac:dyDescent="0.3">
      <c r="A371" s="47" t="s">
        <v>103</v>
      </c>
      <c r="B371" s="47" t="s">
        <v>88</v>
      </c>
      <c r="C371" s="52" t="s">
        <v>76</v>
      </c>
      <c r="D371" s="21"/>
      <c r="E371" s="46" t="s">
        <v>549</v>
      </c>
      <c r="F371" s="93">
        <f>F372+F374+F376+F378+F380+F382+F384+F386+F388+F390+F392+F394+F396+F398+F400+F402</f>
        <v>401547.80000000005</v>
      </c>
      <c r="G371" s="93">
        <f>G372+G374+G376+G378+G380+G382+G384+G386+G388+G390+G392+G394+G396+G398+G400+G402</f>
        <v>401517.7</v>
      </c>
      <c r="H371" s="58">
        <f t="shared" si="74"/>
        <v>100</v>
      </c>
    </row>
    <row r="372" spans="1:11" s="37" customFormat="1" ht="79.2" x14ac:dyDescent="0.3">
      <c r="A372" s="56" t="s">
        <v>103</v>
      </c>
      <c r="B372" s="89" t="s">
        <v>88</v>
      </c>
      <c r="C372" s="82" t="s">
        <v>388</v>
      </c>
      <c r="D372" s="82"/>
      <c r="E372" s="97" t="s">
        <v>387</v>
      </c>
      <c r="F372" s="93">
        <f>F373</f>
        <v>250370.4</v>
      </c>
      <c r="G372" s="93">
        <f>G373</f>
        <v>250370.4</v>
      </c>
      <c r="H372" s="93">
        <f t="shared" si="74"/>
        <v>100</v>
      </c>
    </row>
    <row r="373" spans="1:11" s="37" customFormat="1" ht="14.4" x14ac:dyDescent="0.3">
      <c r="A373" s="56" t="s">
        <v>103</v>
      </c>
      <c r="B373" s="89" t="s">
        <v>88</v>
      </c>
      <c r="C373" s="57" t="s">
        <v>388</v>
      </c>
      <c r="D373" s="21" t="s">
        <v>219</v>
      </c>
      <c r="E373" s="97" t="s">
        <v>218</v>
      </c>
      <c r="F373" s="39">
        <f>222855.8+14016+13196.5+302.1</f>
        <v>250370.4</v>
      </c>
      <c r="G373" s="39">
        <v>250370.4</v>
      </c>
      <c r="H373" s="93">
        <f t="shared" si="74"/>
        <v>100</v>
      </c>
      <c r="K373" s="148"/>
    </row>
    <row r="374" spans="1:11" s="37" customFormat="1" ht="66" x14ac:dyDescent="0.3">
      <c r="A374" s="16" t="s">
        <v>103</v>
      </c>
      <c r="B374" s="16" t="s">
        <v>88</v>
      </c>
      <c r="C374" s="57" t="s">
        <v>389</v>
      </c>
      <c r="D374" s="21"/>
      <c r="E374" s="97" t="s">
        <v>280</v>
      </c>
      <c r="F374" s="93">
        <f>F375</f>
        <v>86546.3</v>
      </c>
      <c r="G374" s="93">
        <f>G375</f>
        <v>86546.3</v>
      </c>
      <c r="H374" s="93">
        <f t="shared" si="74"/>
        <v>100</v>
      </c>
      <c r="K374" s="148"/>
    </row>
    <row r="375" spans="1:11" s="37" customFormat="1" ht="14.4" x14ac:dyDescent="0.3">
      <c r="A375" s="56" t="s">
        <v>103</v>
      </c>
      <c r="B375" s="89" t="s">
        <v>88</v>
      </c>
      <c r="C375" s="57" t="s">
        <v>389</v>
      </c>
      <c r="D375" s="21" t="s">
        <v>219</v>
      </c>
      <c r="E375" s="97" t="s">
        <v>218</v>
      </c>
      <c r="F375" s="93">
        <f>82839.4+3484.6-6.5+228.8</f>
        <v>86546.3</v>
      </c>
      <c r="G375" s="93">
        <v>86546.3</v>
      </c>
      <c r="H375" s="93">
        <f t="shared" si="74"/>
        <v>100</v>
      </c>
    </row>
    <row r="376" spans="1:11" s="37" customFormat="1" ht="66" x14ac:dyDescent="0.3">
      <c r="A376" s="56" t="s">
        <v>103</v>
      </c>
      <c r="B376" s="89" t="s">
        <v>88</v>
      </c>
      <c r="C376" s="57" t="s">
        <v>391</v>
      </c>
      <c r="D376" s="21"/>
      <c r="E376" s="97" t="s">
        <v>390</v>
      </c>
      <c r="F376" s="93">
        <f>F377</f>
        <v>15910.5</v>
      </c>
      <c r="G376" s="93">
        <f>G377</f>
        <v>15910.5</v>
      </c>
      <c r="H376" s="93">
        <f t="shared" si="74"/>
        <v>100</v>
      </c>
    </row>
    <row r="377" spans="1:11" s="37" customFormat="1" ht="14.4" x14ac:dyDescent="0.3">
      <c r="A377" s="16" t="s">
        <v>103</v>
      </c>
      <c r="B377" s="16" t="s">
        <v>88</v>
      </c>
      <c r="C377" s="21" t="s">
        <v>391</v>
      </c>
      <c r="D377" s="21" t="s">
        <v>219</v>
      </c>
      <c r="E377" s="97" t="s">
        <v>218</v>
      </c>
      <c r="F377" s="1">
        <f>15882.5+28</f>
        <v>15910.5</v>
      </c>
      <c r="G377" s="1">
        <v>15910.5</v>
      </c>
      <c r="H377" s="93">
        <f t="shared" si="74"/>
        <v>100</v>
      </c>
    </row>
    <row r="378" spans="1:11" s="37" customFormat="1" ht="53.4" x14ac:dyDescent="0.3">
      <c r="A378" s="56" t="s">
        <v>103</v>
      </c>
      <c r="B378" s="89" t="s">
        <v>88</v>
      </c>
      <c r="C378" s="159" t="s">
        <v>703</v>
      </c>
      <c r="D378" s="21"/>
      <c r="E378" s="107" t="s">
        <v>704</v>
      </c>
      <c r="F378" s="39">
        <f>F379</f>
        <v>644.9</v>
      </c>
      <c r="G378" s="39">
        <f t="shared" ref="G378" si="88">G379</f>
        <v>630</v>
      </c>
      <c r="H378" s="93">
        <f t="shared" si="74"/>
        <v>97.7</v>
      </c>
    </row>
    <row r="379" spans="1:11" s="37" customFormat="1" ht="14.4" x14ac:dyDescent="0.3">
      <c r="A379" s="16" t="s">
        <v>103</v>
      </c>
      <c r="B379" s="16" t="s">
        <v>88</v>
      </c>
      <c r="C379" s="159" t="s">
        <v>703</v>
      </c>
      <c r="D379" s="21" t="s">
        <v>219</v>
      </c>
      <c r="E379" s="97" t="s">
        <v>218</v>
      </c>
      <c r="F379" s="1">
        <v>644.9</v>
      </c>
      <c r="G379" s="39">
        <v>630</v>
      </c>
      <c r="H379" s="93">
        <f t="shared" si="74"/>
        <v>97.7</v>
      </c>
    </row>
    <row r="380" spans="1:11" s="37" customFormat="1" ht="66.599999999999994" x14ac:dyDescent="0.3">
      <c r="A380" s="56" t="s">
        <v>103</v>
      </c>
      <c r="B380" s="89" t="s">
        <v>88</v>
      </c>
      <c r="C380" s="159" t="s">
        <v>705</v>
      </c>
      <c r="D380" s="21"/>
      <c r="E380" s="107" t="s">
        <v>706</v>
      </c>
      <c r="F380" s="1">
        <f>F381</f>
        <v>6.5</v>
      </c>
      <c r="G380" s="1">
        <f t="shared" ref="G380" si="89">G381</f>
        <v>6.4</v>
      </c>
      <c r="H380" s="93">
        <f t="shared" si="74"/>
        <v>98.5</v>
      </c>
    </row>
    <row r="381" spans="1:11" s="37" customFormat="1" ht="14.4" x14ac:dyDescent="0.3">
      <c r="A381" s="56" t="s">
        <v>103</v>
      </c>
      <c r="B381" s="89" t="s">
        <v>88</v>
      </c>
      <c r="C381" s="159" t="s">
        <v>705</v>
      </c>
      <c r="D381" s="21" t="s">
        <v>219</v>
      </c>
      <c r="E381" s="97" t="s">
        <v>218</v>
      </c>
      <c r="F381" s="1">
        <v>6.5</v>
      </c>
      <c r="G381" s="39">
        <v>6.4</v>
      </c>
      <c r="H381" s="93">
        <f t="shared" si="74"/>
        <v>98.5</v>
      </c>
    </row>
    <row r="382" spans="1:11" s="37" customFormat="1" ht="52.8" x14ac:dyDescent="0.3">
      <c r="A382" s="16" t="s">
        <v>103</v>
      </c>
      <c r="B382" s="16" t="s">
        <v>88</v>
      </c>
      <c r="C382" s="57" t="s">
        <v>394</v>
      </c>
      <c r="D382" s="21"/>
      <c r="E382" s="97" t="s">
        <v>395</v>
      </c>
      <c r="F382" s="93">
        <f>F383</f>
        <v>193.6</v>
      </c>
      <c r="G382" s="93">
        <f>G383</f>
        <v>193.6</v>
      </c>
      <c r="H382" s="93">
        <f t="shared" si="74"/>
        <v>100</v>
      </c>
    </row>
    <row r="383" spans="1:11" s="37" customFormat="1" ht="14.4" x14ac:dyDescent="0.3">
      <c r="A383" s="16" t="s">
        <v>103</v>
      </c>
      <c r="B383" s="16" t="s">
        <v>88</v>
      </c>
      <c r="C383" s="57" t="s">
        <v>394</v>
      </c>
      <c r="D383" s="21" t="s">
        <v>219</v>
      </c>
      <c r="E383" s="97" t="s">
        <v>218</v>
      </c>
      <c r="F383" s="93">
        <f>273-27.3-52.1</f>
        <v>193.6</v>
      </c>
      <c r="G383" s="93">
        <v>193.6</v>
      </c>
      <c r="H383" s="93">
        <f t="shared" si="74"/>
        <v>100</v>
      </c>
    </row>
    <row r="384" spans="1:11" s="37" customFormat="1" ht="52.8" x14ac:dyDescent="0.3">
      <c r="A384" s="16" t="s">
        <v>103</v>
      </c>
      <c r="B384" s="16" t="s">
        <v>88</v>
      </c>
      <c r="C384" s="57" t="s">
        <v>604</v>
      </c>
      <c r="D384" s="21"/>
      <c r="E384" s="97" t="s">
        <v>605</v>
      </c>
      <c r="F384" s="93">
        <f>F385</f>
        <v>500</v>
      </c>
      <c r="G384" s="93">
        <f t="shared" ref="G384" si="90">G385</f>
        <v>500</v>
      </c>
      <c r="H384" s="93">
        <f t="shared" si="74"/>
        <v>100</v>
      </c>
    </row>
    <row r="385" spans="1:11" s="37" customFormat="1" ht="14.4" x14ac:dyDescent="0.3">
      <c r="A385" s="16" t="s">
        <v>103</v>
      </c>
      <c r="B385" s="16" t="s">
        <v>88</v>
      </c>
      <c r="C385" s="57" t="s">
        <v>604</v>
      </c>
      <c r="D385" s="21" t="s">
        <v>219</v>
      </c>
      <c r="E385" s="97" t="s">
        <v>218</v>
      </c>
      <c r="F385" s="93">
        <v>500</v>
      </c>
      <c r="G385" s="93">
        <v>500</v>
      </c>
      <c r="H385" s="93">
        <f t="shared" si="74"/>
        <v>100</v>
      </c>
    </row>
    <row r="386" spans="1:11" s="37" customFormat="1" ht="53.4" x14ac:dyDescent="0.3">
      <c r="A386" s="16" t="s">
        <v>103</v>
      </c>
      <c r="B386" s="16" t="s">
        <v>88</v>
      </c>
      <c r="C386" s="156" t="s">
        <v>677</v>
      </c>
      <c r="D386" s="21"/>
      <c r="E386" s="122" t="s">
        <v>678</v>
      </c>
      <c r="F386" s="93">
        <f>F387</f>
        <v>100</v>
      </c>
      <c r="G386" s="93">
        <f t="shared" ref="G386" si="91">G387</f>
        <v>100</v>
      </c>
      <c r="H386" s="93">
        <f t="shared" si="74"/>
        <v>100</v>
      </c>
    </row>
    <row r="387" spans="1:11" s="37" customFormat="1" ht="14.4" x14ac:dyDescent="0.3">
      <c r="A387" s="16" t="s">
        <v>103</v>
      </c>
      <c r="B387" s="16" t="s">
        <v>88</v>
      </c>
      <c r="C387" s="156" t="s">
        <v>677</v>
      </c>
      <c r="D387" s="21" t="s">
        <v>219</v>
      </c>
      <c r="E387" s="97" t="s">
        <v>218</v>
      </c>
      <c r="F387" s="93">
        <v>100</v>
      </c>
      <c r="G387" s="93">
        <v>100</v>
      </c>
      <c r="H387" s="93">
        <f t="shared" si="74"/>
        <v>100</v>
      </c>
    </row>
    <row r="388" spans="1:11" s="37" customFormat="1" ht="39.6" x14ac:dyDescent="0.3">
      <c r="A388" s="16" t="s">
        <v>103</v>
      </c>
      <c r="B388" s="16" t="s">
        <v>88</v>
      </c>
      <c r="C388" s="57" t="s">
        <v>397</v>
      </c>
      <c r="D388" s="21"/>
      <c r="E388" s="97" t="s">
        <v>302</v>
      </c>
      <c r="F388" s="93">
        <f>F389</f>
        <v>5249.9</v>
      </c>
      <c r="G388" s="93">
        <f>G389</f>
        <v>5249.9</v>
      </c>
      <c r="H388" s="93">
        <f t="shared" si="74"/>
        <v>100</v>
      </c>
    </row>
    <row r="389" spans="1:11" s="37" customFormat="1" ht="14.4" x14ac:dyDescent="0.3">
      <c r="A389" s="16" t="s">
        <v>103</v>
      </c>
      <c r="B389" s="16" t="s">
        <v>88</v>
      </c>
      <c r="C389" s="57" t="s">
        <v>397</v>
      </c>
      <c r="D389" s="21" t="s">
        <v>219</v>
      </c>
      <c r="E389" s="97" t="s">
        <v>218</v>
      </c>
      <c r="F389" s="39">
        <v>5249.9</v>
      </c>
      <c r="G389" s="39">
        <v>5249.9</v>
      </c>
      <c r="H389" s="93">
        <f t="shared" si="74"/>
        <v>100</v>
      </c>
      <c r="K389" s="148"/>
    </row>
    <row r="390" spans="1:11" s="37" customFormat="1" ht="79.2" x14ac:dyDescent="0.3">
      <c r="A390" s="16" t="s">
        <v>103</v>
      </c>
      <c r="B390" s="16" t="s">
        <v>88</v>
      </c>
      <c r="C390" s="21" t="s">
        <v>399</v>
      </c>
      <c r="D390" s="21"/>
      <c r="E390" s="97" t="s">
        <v>133</v>
      </c>
      <c r="F390" s="93">
        <f>F391</f>
        <v>17550.099999999999</v>
      </c>
      <c r="G390" s="93">
        <f>G391</f>
        <v>17550.099999999999</v>
      </c>
      <c r="H390" s="93">
        <f t="shared" si="74"/>
        <v>100</v>
      </c>
      <c r="J390" s="148"/>
    </row>
    <row r="391" spans="1:11" s="37" customFormat="1" ht="14.4" x14ac:dyDescent="0.3">
      <c r="A391" s="82" t="s">
        <v>103</v>
      </c>
      <c r="B391" s="16" t="s">
        <v>88</v>
      </c>
      <c r="C391" s="21" t="s">
        <v>399</v>
      </c>
      <c r="D391" s="21" t="s">
        <v>219</v>
      </c>
      <c r="E391" s="97" t="s">
        <v>218</v>
      </c>
      <c r="F391" s="93">
        <v>17550.099999999999</v>
      </c>
      <c r="G391" s="93">
        <v>17550.099999999999</v>
      </c>
      <c r="H391" s="93">
        <f t="shared" ref="H391:H411" si="92">ROUND((G391/F391*100),1)</f>
        <v>100</v>
      </c>
    </row>
    <row r="392" spans="1:11" s="37" customFormat="1" ht="76.5" customHeight="1" x14ac:dyDescent="0.3">
      <c r="A392" s="16" t="s">
        <v>103</v>
      </c>
      <c r="B392" s="16" t="s">
        <v>88</v>
      </c>
      <c r="C392" s="21" t="s">
        <v>400</v>
      </c>
      <c r="D392" s="21"/>
      <c r="E392" s="97" t="s">
        <v>557</v>
      </c>
      <c r="F392" s="93">
        <f>F393</f>
        <v>171.5</v>
      </c>
      <c r="G392" s="93">
        <f>G393</f>
        <v>171.5</v>
      </c>
      <c r="H392" s="93">
        <f t="shared" si="92"/>
        <v>100</v>
      </c>
    </row>
    <row r="393" spans="1:11" s="37" customFormat="1" ht="14.4" x14ac:dyDescent="0.3">
      <c r="A393" s="16" t="s">
        <v>103</v>
      </c>
      <c r="B393" s="16" t="s">
        <v>88</v>
      </c>
      <c r="C393" s="21" t="s">
        <v>400</v>
      </c>
      <c r="D393" s="21" t="s">
        <v>219</v>
      </c>
      <c r="E393" s="97" t="s">
        <v>218</v>
      </c>
      <c r="F393" s="41">
        <f>175-3.5</f>
        <v>171.5</v>
      </c>
      <c r="G393" s="41">
        <v>171.5</v>
      </c>
      <c r="H393" s="93">
        <f t="shared" si="92"/>
        <v>100</v>
      </c>
    </row>
    <row r="394" spans="1:11" s="37" customFormat="1" ht="66" x14ac:dyDescent="0.3">
      <c r="A394" s="16" t="s">
        <v>103</v>
      </c>
      <c r="B394" s="16" t="s">
        <v>88</v>
      </c>
      <c r="C394" s="21" t="s">
        <v>667</v>
      </c>
      <c r="D394" s="82"/>
      <c r="E394" s="55" t="s">
        <v>367</v>
      </c>
      <c r="F394" s="41">
        <f>F395</f>
        <v>18640</v>
      </c>
      <c r="G394" s="41">
        <f t="shared" ref="G394" si="93">G395</f>
        <v>18640</v>
      </c>
      <c r="H394" s="93">
        <f t="shared" si="92"/>
        <v>100</v>
      </c>
    </row>
    <row r="395" spans="1:11" s="37" customFormat="1" ht="14.4" x14ac:dyDescent="0.3">
      <c r="A395" s="16" t="s">
        <v>103</v>
      </c>
      <c r="B395" s="16" t="s">
        <v>88</v>
      </c>
      <c r="C395" s="21" t="s">
        <v>667</v>
      </c>
      <c r="D395" s="21" t="s">
        <v>219</v>
      </c>
      <c r="E395" s="97" t="s">
        <v>218</v>
      </c>
      <c r="F395" s="39">
        <v>18640</v>
      </c>
      <c r="G395" s="39">
        <v>18640</v>
      </c>
      <c r="H395" s="93">
        <f t="shared" si="92"/>
        <v>100</v>
      </c>
    </row>
    <row r="396" spans="1:11" s="37" customFormat="1" ht="66" x14ac:dyDescent="0.3">
      <c r="A396" s="16" t="s">
        <v>103</v>
      </c>
      <c r="B396" s="16" t="s">
        <v>88</v>
      </c>
      <c r="C396" s="21" t="s">
        <v>540</v>
      </c>
      <c r="D396" s="21"/>
      <c r="E396" s="97" t="s">
        <v>541</v>
      </c>
      <c r="F396" s="41">
        <f>F397</f>
        <v>4339.3999999999996</v>
      </c>
      <c r="G396" s="41">
        <f t="shared" ref="G396" si="94">G397</f>
        <v>4324.3</v>
      </c>
      <c r="H396" s="93">
        <f t="shared" si="92"/>
        <v>99.7</v>
      </c>
    </row>
    <row r="397" spans="1:11" s="37" customFormat="1" ht="14.4" x14ac:dyDescent="0.3">
      <c r="A397" s="16" t="s">
        <v>103</v>
      </c>
      <c r="B397" s="16" t="s">
        <v>88</v>
      </c>
      <c r="C397" s="21" t="s">
        <v>540</v>
      </c>
      <c r="D397" s="21" t="s">
        <v>219</v>
      </c>
      <c r="E397" s="97" t="s">
        <v>218</v>
      </c>
      <c r="F397" s="41">
        <f>3968.1+466.6-95.3</f>
        <v>4339.3999999999996</v>
      </c>
      <c r="G397" s="41">
        <v>4324.3</v>
      </c>
      <c r="H397" s="93">
        <f t="shared" si="92"/>
        <v>99.7</v>
      </c>
    </row>
    <row r="398" spans="1:11" s="37" customFormat="1" ht="63" customHeight="1" x14ac:dyDescent="0.3">
      <c r="A398" s="16" t="s">
        <v>103</v>
      </c>
      <c r="B398" s="16" t="s">
        <v>88</v>
      </c>
      <c r="C398" s="57" t="s">
        <v>666</v>
      </c>
      <c r="D398" s="21"/>
      <c r="E398" s="96" t="s">
        <v>665</v>
      </c>
      <c r="F398" s="41">
        <f>F399</f>
        <v>250</v>
      </c>
      <c r="G398" s="41">
        <f t="shared" ref="G398" si="95">G399</f>
        <v>250</v>
      </c>
      <c r="H398" s="93">
        <f t="shared" si="92"/>
        <v>100</v>
      </c>
      <c r="J398" s="148"/>
    </row>
    <row r="399" spans="1:11" s="37" customFormat="1" ht="14.4" x14ac:dyDescent="0.3">
      <c r="A399" s="16" t="s">
        <v>103</v>
      </c>
      <c r="B399" s="16" t="s">
        <v>88</v>
      </c>
      <c r="C399" s="57" t="s">
        <v>666</v>
      </c>
      <c r="D399" s="21" t="s">
        <v>219</v>
      </c>
      <c r="E399" s="97" t="s">
        <v>218</v>
      </c>
      <c r="F399" s="41">
        <v>250</v>
      </c>
      <c r="G399" s="41">
        <v>250</v>
      </c>
      <c r="H399" s="93">
        <f t="shared" si="92"/>
        <v>100</v>
      </c>
      <c r="J399" s="148"/>
    </row>
    <row r="400" spans="1:11" s="37" customFormat="1" ht="51.75" customHeight="1" x14ac:dyDescent="0.3">
      <c r="A400" s="16" t="s">
        <v>103</v>
      </c>
      <c r="B400" s="16" t="s">
        <v>88</v>
      </c>
      <c r="C400" s="57" t="s">
        <v>673</v>
      </c>
      <c r="D400" s="21"/>
      <c r="E400" s="96" t="s">
        <v>674</v>
      </c>
      <c r="F400" s="41">
        <f>F401</f>
        <v>389.3</v>
      </c>
      <c r="G400" s="41">
        <f t="shared" ref="G400" si="96">G401</f>
        <v>389.3</v>
      </c>
      <c r="H400" s="93">
        <f t="shared" si="92"/>
        <v>100</v>
      </c>
      <c r="K400" s="148"/>
    </row>
    <row r="401" spans="1:13" s="37" customFormat="1" ht="14.4" x14ac:dyDescent="0.3">
      <c r="A401" s="16" t="s">
        <v>103</v>
      </c>
      <c r="B401" s="16" t="s">
        <v>88</v>
      </c>
      <c r="C401" s="57" t="s">
        <v>673</v>
      </c>
      <c r="D401" s="21" t="s">
        <v>219</v>
      </c>
      <c r="E401" s="97" t="s">
        <v>218</v>
      </c>
      <c r="F401" s="41">
        <v>389.3</v>
      </c>
      <c r="G401" s="41">
        <v>389.3</v>
      </c>
      <c r="H401" s="93">
        <f t="shared" si="92"/>
        <v>100</v>
      </c>
    </row>
    <row r="402" spans="1:13" s="37" customFormat="1" ht="66" x14ac:dyDescent="0.3">
      <c r="A402" s="56" t="s">
        <v>103</v>
      </c>
      <c r="B402" s="89" t="s">
        <v>88</v>
      </c>
      <c r="C402" s="57" t="s">
        <v>692</v>
      </c>
      <c r="D402" s="21"/>
      <c r="E402" s="97" t="s">
        <v>693</v>
      </c>
      <c r="F402" s="1">
        <f>F403</f>
        <v>685.4</v>
      </c>
      <c r="G402" s="1">
        <f t="shared" ref="G402" si="97">G403</f>
        <v>685.4</v>
      </c>
      <c r="H402" s="93">
        <f t="shared" si="92"/>
        <v>100</v>
      </c>
    </row>
    <row r="403" spans="1:13" s="37" customFormat="1" ht="14.4" x14ac:dyDescent="0.3">
      <c r="A403" s="16" t="s">
        <v>103</v>
      </c>
      <c r="B403" s="16" t="s">
        <v>88</v>
      </c>
      <c r="C403" s="57" t="s">
        <v>692</v>
      </c>
      <c r="D403" s="21" t="s">
        <v>219</v>
      </c>
      <c r="E403" s="97" t="s">
        <v>218</v>
      </c>
      <c r="F403" s="1">
        <v>685.4</v>
      </c>
      <c r="G403" s="1">
        <v>685.4</v>
      </c>
      <c r="H403" s="93">
        <f t="shared" si="92"/>
        <v>100</v>
      </c>
    </row>
    <row r="404" spans="1:13" s="37" customFormat="1" ht="40.200000000000003" x14ac:dyDescent="0.3">
      <c r="A404" s="16" t="s">
        <v>103</v>
      </c>
      <c r="B404" s="16" t="s">
        <v>88</v>
      </c>
      <c r="C404" s="82" t="s">
        <v>25</v>
      </c>
      <c r="D404" s="82"/>
      <c r="E404" s="98" t="s">
        <v>39</v>
      </c>
      <c r="F404" s="41">
        <f>F405</f>
        <v>115</v>
      </c>
      <c r="G404" s="41">
        <f t="shared" ref="G404" si="98">G405</f>
        <v>115</v>
      </c>
      <c r="H404" s="93">
        <f t="shared" si="92"/>
        <v>100</v>
      </c>
    </row>
    <row r="405" spans="1:13" s="37" customFormat="1" ht="52.8" x14ac:dyDescent="0.3">
      <c r="A405" s="16" t="s">
        <v>103</v>
      </c>
      <c r="B405" s="16" t="s">
        <v>88</v>
      </c>
      <c r="C405" s="82" t="s">
        <v>556</v>
      </c>
      <c r="D405" s="16"/>
      <c r="E405" s="54" t="s">
        <v>554</v>
      </c>
      <c r="F405" s="41">
        <f>SUM(F406:F406)</f>
        <v>115</v>
      </c>
      <c r="G405" s="41">
        <f>SUM(G406:G406)</f>
        <v>115</v>
      </c>
      <c r="H405" s="93">
        <f t="shared" si="92"/>
        <v>100</v>
      </c>
    </row>
    <row r="406" spans="1:13" s="37" customFormat="1" ht="14.4" x14ac:dyDescent="0.3">
      <c r="A406" s="16" t="s">
        <v>103</v>
      </c>
      <c r="B406" s="16" t="s">
        <v>88</v>
      </c>
      <c r="C406" s="82" t="s">
        <v>556</v>
      </c>
      <c r="D406" s="21" t="s">
        <v>219</v>
      </c>
      <c r="E406" s="97" t="s">
        <v>218</v>
      </c>
      <c r="F406" s="39">
        <f>70+45</f>
        <v>115</v>
      </c>
      <c r="G406" s="39">
        <v>115</v>
      </c>
      <c r="H406" s="93">
        <f t="shared" si="92"/>
        <v>100</v>
      </c>
    </row>
    <row r="407" spans="1:13" s="37" customFormat="1" ht="14.4" x14ac:dyDescent="0.3">
      <c r="A407" s="35" t="s">
        <v>103</v>
      </c>
      <c r="B407" s="35" t="s">
        <v>92</v>
      </c>
      <c r="C407" s="35"/>
      <c r="D407" s="35"/>
      <c r="E407" s="46" t="s">
        <v>151</v>
      </c>
      <c r="F407" s="42">
        <f>F408+F431+F445</f>
        <v>65710.3</v>
      </c>
      <c r="G407" s="42">
        <f>G408+G431+G445</f>
        <v>65694.399999999994</v>
      </c>
      <c r="H407" s="42">
        <f t="shared" si="92"/>
        <v>100</v>
      </c>
    </row>
    <row r="408" spans="1:13" s="37" customFormat="1" ht="79.8" x14ac:dyDescent="0.3">
      <c r="A408" s="5" t="s">
        <v>103</v>
      </c>
      <c r="B408" s="5" t="s">
        <v>92</v>
      </c>
      <c r="C408" s="73" t="s">
        <v>74</v>
      </c>
      <c r="D408" s="21"/>
      <c r="E408" s="64" t="s">
        <v>559</v>
      </c>
      <c r="F408" s="62">
        <f>F409+F428</f>
        <v>49458.6</v>
      </c>
      <c r="G408" s="62">
        <f>G409+G428</f>
        <v>49442.8</v>
      </c>
      <c r="H408" s="62">
        <f t="shared" si="92"/>
        <v>100</v>
      </c>
    </row>
    <row r="409" spans="1:13" s="37" customFormat="1" ht="40.200000000000003" x14ac:dyDescent="0.3">
      <c r="A409" s="16" t="s">
        <v>103</v>
      </c>
      <c r="B409" s="82" t="s">
        <v>92</v>
      </c>
      <c r="C409" s="52" t="s">
        <v>406</v>
      </c>
      <c r="D409" s="35"/>
      <c r="E409" s="46" t="s">
        <v>407</v>
      </c>
      <c r="F409" s="93">
        <f>F410+F412+F414+F416++F422+F424+F426+F418+F420</f>
        <v>49408.6</v>
      </c>
      <c r="G409" s="93">
        <f>G410+G412+G414+G416++G422+G424+G426+G418+G420</f>
        <v>49393.600000000006</v>
      </c>
      <c r="H409" s="58">
        <f t="shared" si="92"/>
        <v>100</v>
      </c>
    </row>
    <row r="410" spans="1:13" s="37" customFormat="1" ht="79.2" x14ac:dyDescent="0.3">
      <c r="A410" s="16" t="s">
        <v>103</v>
      </c>
      <c r="B410" s="82" t="s">
        <v>92</v>
      </c>
      <c r="C410" s="57" t="s">
        <v>410</v>
      </c>
      <c r="D410" s="16"/>
      <c r="E410" s="97" t="s">
        <v>409</v>
      </c>
      <c r="F410" s="93">
        <f>F411</f>
        <v>30540.799999999999</v>
      </c>
      <c r="G410" s="93">
        <f>G411</f>
        <v>30540.799999999999</v>
      </c>
      <c r="H410" s="93">
        <f t="shared" si="92"/>
        <v>100</v>
      </c>
      <c r="J410" s="148"/>
    </row>
    <row r="411" spans="1:13" s="37" customFormat="1" ht="14.4" x14ac:dyDescent="0.3">
      <c r="A411" s="16" t="s">
        <v>103</v>
      </c>
      <c r="B411" s="82" t="s">
        <v>92</v>
      </c>
      <c r="C411" s="57" t="s">
        <v>410</v>
      </c>
      <c r="D411" s="21" t="s">
        <v>219</v>
      </c>
      <c r="E411" s="97" t="s">
        <v>218</v>
      </c>
      <c r="F411" s="93">
        <f>35352.5+721.3-11440.4+4500-22.4-2.4+1432.2</f>
        <v>30540.799999999999</v>
      </c>
      <c r="G411" s="93">
        <v>30540.799999999999</v>
      </c>
      <c r="H411" s="93">
        <f t="shared" si="92"/>
        <v>100</v>
      </c>
      <c r="J411" s="148"/>
    </row>
    <row r="412" spans="1:13" s="37" customFormat="1" ht="49.5" customHeight="1" x14ac:dyDescent="0.3">
      <c r="A412" s="16" t="s">
        <v>103</v>
      </c>
      <c r="B412" s="82" t="s">
        <v>92</v>
      </c>
      <c r="C412" s="57" t="s">
        <v>657</v>
      </c>
      <c r="D412" s="21"/>
      <c r="E412" s="97" t="s">
        <v>658</v>
      </c>
      <c r="F412" s="93">
        <f>SUM(F413:F413)</f>
        <v>5837.9000000000015</v>
      </c>
      <c r="G412" s="93">
        <f>SUM(G413:G413)</f>
        <v>5837.9</v>
      </c>
      <c r="H412" s="93">
        <f t="shared" ref="H412:H449" si="99">ROUND((G412/F412*100),1)</f>
        <v>100</v>
      </c>
      <c r="J412" s="148"/>
    </row>
    <row r="413" spans="1:13" s="37" customFormat="1" ht="14.4" x14ac:dyDescent="0.3">
      <c r="A413" s="16" t="s">
        <v>103</v>
      </c>
      <c r="B413" s="82" t="s">
        <v>92</v>
      </c>
      <c r="C413" s="57" t="s">
        <v>657</v>
      </c>
      <c r="D413" s="21" t="s">
        <v>219</v>
      </c>
      <c r="E413" s="97" t="s">
        <v>218</v>
      </c>
      <c r="F413" s="93">
        <f>329.7+10817.4+155.7-4500-964.9</f>
        <v>5837.9000000000015</v>
      </c>
      <c r="G413" s="93">
        <v>5837.9</v>
      </c>
      <c r="H413" s="93">
        <f t="shared" si="99"/>
        <v>100</v>
      </c>
    </row>
    <row r="414" spans="1:13" s="37" customFormat="1" ht="79.2" x14ac:dyDescent="0.3">
      <c r="A414" s="16" t="s">
        <v>103</v>
      </c>
      <c r="B414" s="82" t="s">
        <v>92</v>
      </c>
      <c r="C414" s="57" t="s">
        <v>412</v>
      </c>
      <c r="D414" s="21"/>
      <c r="E414" s="97" t="s">
        <v>413</v>
      </c>
      <c r="F414" s="93">
        <f>F415</f>
        <v>11479.3</v>
      </c>
      <c r="G414" s="93">
        <f>G415</f>
        <v>11479.3</v>
      </c>
      <c r="H414" s="93">
        <f t="shared" si="99"/>
        <v>100</v>
      </c>
      <c r="J414" s="148"/>
      <c r="K414" s="148"/>
      <c r="L414" s="148"/>
      <c r="M414" s="148"/>
    </row>
    <row r="415" spans="1:13" s="37" customFormat="1" ht="14.4" x14ac:dyDescent="0.3">
      <c r="A415" s="16" t="s">
        <v>103</v>
      </c>
      <c r="B415" s="82" t="s">
        <v>92</v>
      </c>
      <c r="C415" s="57" t="s">
        <v>412</v>
      </c>
      <c r="D415" s="21" t="s">
        <v>219</v>
      </c>
      <c r="E415" s="97" t="s">
        <v>218</v>
      </c>
      <c r="F415" s="130">
        <f>9259.8+1+2218.5</f>
        <v>11479.3</v>
      </c>
      <c r="G415" s="130">
        <v>11479.3</v>
      </c>
      <c r="H415" s="93">
        <f t="shared" si="99"/>
        <v>100</v>
      </c>
    </row>
    <row r="416" spans="1:13" s="37" customFormat="1" ht="79.2" x14ac:dyDescent="0.3">
      <c r="A416" s="16" t="s">
        <v>103</v>
      </c>
      <c r="B416" s="82" t="s">
        <v>92</v>
      </c>
      <c r="C416" s="57" t="s">
        <v>414</v>
      </c>
      <c r="D416" s="57"/>
      <c r="E416" s="97" t="s">
        <v>415</v>
      </c>
      <c r="F416" s="39">
        <f>F417</f>
        <v>116</v>
      </c>
      <c r="G416" s="39">
        <f>G417</f>
        <v>116</v>
      </c>
      <c r="H416" s="93">
        <f t="shared" si="99"/>
        <v>100</v>
      </c>
      <c r="J416" s="148"/>
    </row>
    <row r="417" spans="1:8" s="37" customFormat="1" ht="14.4" x14ac:dyDescent="0.3">
      <c r="A417" s="16" t="s">
        <v>103</v>
      </c>
      <c r="B417" s="82" t="s">
        <v>92</v>
      </c>
      <c r="C417" s="21" t="s">
        <v>414</v>
      </c>
      <c r="D417" s="21" t="s">
        <v>219</v>
      </c>
      <c r="E417" s="97" t="s">
        <v>218</v>
      </c>
      <c r="F417" s="41">
        <f>93.6+22.4</f>
        <v>116</v>
      </c>
      <c r="G417" s="41">
        <v>116</v>
      </c>
      <c r="H417" s="93">
        <f t="shared" si="99"/>
        <v>100</v>
      </c>
    </row>
    <row r="418" spans="1:8" s="37" customFormat="1" ht="66.599999999999994" x14ac:dyDescent="0.3">
      <c r="A418" s="16" t="s">
        <v>103</v>
      </c>
      <c r="B418" s="82" t="s">
        <v>92</v>
      </c>
      <c r="C418" s="21" t="s">
        <v>707</v>
      </c>
      <c r="D418" s="21"/>
      <c r="E418" s="107" t="s">
        <v>708</v>
      </c>
      <c r="F418" s="41">
        <f>F419</f>
        <v>237.2</v>
      </c>
      <c r="G418" s="41">
        <f t="shared" ref="G418" si="100">G419</f>
        <v>222.3</v>
      </c>
      <c r="H418" s="93">
        <f t="shared" si="99"/>
        <v>93.7</v>
      </c>
    </row>
    <row r="419" spans="1:8" s="37" customFormat="1" ht="14.4" x14ac:dyDescent="0.3">
      <c r="A419" s="16" t="s">
        <v>103</v>
      </c>
      <c r="B419" s="82" t="s">
        <v>92</v>
      </c>
      <c r="C419" s="21" t="s">
        <v>707</v>
      </c>
      <c r="D419" s="21" t="s">
        <v>219</v>
      </c>
      <c r="E419" s="97" t="s">
        <v>218</v>
      </c>
      <c r="F419" s="41">
        <v>237.2</v>
      </c>
      <c r="G419" s="41">
        <v>222.3</v>
      </c>
      <c r="H419" s="93">
        <f t="shared" si="99"/>
        <v>93.7</v>
      </c>
    </row>
    <row r="420" spans="1:8" s="37" customFormat="1" ht="79.8" x14ac:dyDescent="0.3">
      <c r="A420" s="16" t="s">
        <v>103</v>
      </c>
      <c r="B420" s="82" t="s">
        <v>92</v>
      </c>
      <c r="C420" s="21" t="s">
        <v>709</v>
      </c>
      <c r="D420" s="21"/>
      <c r="E420" s="107" t="s">
        <v>710</v>
      </c>
      <c r="F420" s="41">
        <f>F421</f>
        <v>2.4</v>
      </c>
      <c r="G420" s="41">
        <f t="shared" ref="G420" si="101">G421</f>
        <v>2.2999999999999998</v>
      </c>
      <c r="H420" s="93">
        <f t="shared" si="99"/>
        <v>95.8</v>
      </c>
    </row>
    <row r="421" spans="1:8" s="37" customFormat="1" ht="14.4" x14ac:dyDescent="0.3">
      <c r="A421" s="16" t="s">
        <v>103</v>
      </c>
      <c r="B421" s="82" t="s">
        <v>92</v>
      </c>
      <c r="C421" s="21" t="s">
        <v>709</v>
      </c>
      <c r="D421" s="21" t="s">
        <v>219</v>
      </c>
      <c r="E421" s="97" t="s">
        <v>218</v>
      </c>
      <c r="F421" s="41">
        <v>2.4</v>
      </c>
      <c r="G421" s="41">
        <v>2.2999999999999998</v>
      </c>
      <c r="H421" s="93">
        <f t="shared" si="99"/>
        <v>95.8</v>
      </c>
    </row>
    <row r="422" spans="1:8" s="37" customFormat="1" ht="53.4" x14ac:dyDescent="0.3">
      <c r="A422" s="16" t="s">
        <v>103</v>
      </c>
      <c r="B422" s="82" t="s">
        <v>92</v>
      </c>
      <c r="C422" s="57" t="s">
        <v>548</v>
      </c>
      <c r="D422" s="21"/>
      <c r="E422" s="107" t="s">
        <v>418</v>
      </c>
      <c r="F422" s="93">
        <f>F423</f>
        <v>795</v>
      </c>
      <c r="G422" s="93">
        <f t="shared" ref="G422" si="102">G423</f>
        <v>795</v>
      </c>
      <c r="H422" s="93">
        <f t="shared" si="99"/>
        <v>100</v>
      </c>
    </row>
    <row r="423" spans="1:8" s="37" customFormat="1" ht="14.4" x14ac:dyDescent="0.3">
      <c r="A423" s="16" t="s">
        <v>103</v>
      </c>
      <c r="B423" s="82" t="s">
        <v>92</v>
      </c>
      <c r="C423" s="57" t="s">
        <v>548</v>
      </c>
      <c r="D423" s="21" t="s">
        <v>219</v>
      </c>
      <c r="E423" s="97" t="s">
        <v>218</v>
      </c>
      <c r="F423" s="93">
        <v>795</v>
      </c>
      <c r="G423" s="93">
        <v>795</v>
      </c>
      <c r="H423" s="93">
        <f t="shared" si="99"/>
        <v>100</v>
      </c>
    </row>
    <row r="424" spans="1:8" s="37" customFormat="1" ht="39.6" x14ac:dyDescent="0.3">
      <c r="A424" s="16" t="s">
        <v>103</v>
      </c>
      <c r="B424" s="82" t="s">
        <v>92</v>
      </c>
      <c r="C424" s="57" t="s">
        <v>419</v>
      </c>
      <c r="D424" s="21"/>
      <c r="E424" s="97" t="s">
        <v>178</v>
      </c>
      <c r="F424" s="41">
        <f>F425</f>
        <v>250</v>
      </c>
      <c r="G424" s="41">
        <f t="shared" ref="G424" si="103">G425</f>
        <v>250</v>
      </c>
      <c r="H424" s="93">
        <f t="shared" si="99"/>
        <v>100</v>
      </c>
    </row>
    <row r="425" spans="1:8" s="37" customFormat="1" ht="14.4" x14ac:dyDescent="0.3">
      <c r="A425" s="16" t="s">
        <v>103</v>
      </c>
      <c r="B425" s="82" t="s">
        <v>92</v>
      </c>
      <c r="C425" s="57" t="s">
        <v>419</v>
      </c>
      <c r="D425" s="21" t="s">
        <v>219</v>
      </c>
      <c r="E425" s="97" t="s">
        <v>218</v>
      </c>
      <c r="F425" s="41">
        <v>250</v>
      </c>
      <c r="G425" s="41">
        <v>250</v>
      </c>
      <c r="H425" s="93">
        <f t="shared" si="99"/>
        <v>100</v>
      </c>
    </row>
    <row r="426" spans="1:8" s="37" customFormat="1" ht="39.6" x14ac:dyDescent="0.3">
      <c r="A426" s="16" t="s">
        <v>103</v>
      </c>
      <c r="B426" s="82" t="s">
        <v>92</v>
      </c>
      <c r="C426" s="57" t="s">
        <v>420</v>
      </c>
      <c r="D426" s="21"/>
      <c r="E426" s="97" t="s">
        <v>421</v>
      </c>
      <c r="F426" s="41">
        <f>F427</f>
        <v>150</v>
      </c>
      <c r="G426" s="41">
        <f t="shared" ref="G426" si="104">G427</f>
        <v>150</v>
      </c>
      <c r="H426" s="93">
        <f t="shared" si="99"/>
        <v>100</v>
      </c>
    </row>
    <row r="427" spans="1:8" s="37" customFormat="1" ht="14.4" x14ac:dyDescent="0.3">
      <c r="A427" s="16" t="s">
        <v>103</v>
      </c>
      <c r="B427" s="82" t="s">
        <v>92</v>
      </c>
      <c r="C427" s="57" t="s">
        <v>420</v>
      </c>
      <c r="D427" s="21" t="s">
        <v>219</v>
      </c>
      <c r="E427" s="97" t="s">
        <v>218</v>
      </c>
      <c r="F427" s="41">
        <v>150</v>
      </c>
      <c r="G427" s="41">
        <v>150</v>
      </c>
      <c r="H427" s="93">
        <f t="shared" si="99"/>
        <v>100</v>
      </c>
    </row>
    <row r="428" spans="1:8" s="37" customFormat="1" ht="27" customHeight="1" x14ac:dyDescent="0.3">
      <c r="A428" s="47" t="s">
        <v>103</v>
      </c>
      <c r="B428" s="47" t="s">
        <v>92</v>
      </c>
      <c r="C428" s="52" t="s">
        <v>423</v>
      </c>
      <c r="D428" s="82"/>
      <c r="E428" s="46" t="s">
        <v>422</v>
      </c>
      <c r="F428" s="92">
        <f>F429</f>
        <v>50</v>
      </c>
      <c r="G428" s="92">
        <f t="shared" ref="G428" si="105">G429</f>
        <v>49.2</v>
      </c>
      <c r="H428" s="93">
        <f t="shared" si="99"/>
        <v>98.4</v>
      </c>
    </row>
    <row r="429" spans="1:8" s="37" customFormat="1" ht="79.2" x14ac:dyDescent="0.3">
      <c r="A429" s="16" t="s">
        <v>103</v>
      </c>
      <c r="B429" s="82" t="s">
        <v>92</v>
      </c>
      <c r="C429" s="57" t="s">
        <v>542</v>
      </c>
      <c r="D429" s="16"/>
      <c r="E429" s="97" t="s">
        <v>426</v>
      </c>
      <c r="F429" s="41">
        <f>F430</f>
        <v>50</v>
      </c>
      <c r="G429" s="41">
        <f>G430</f>
        <v>49.2</v>
      </c>
      <c r="H429" s="93">
        <f t="shared" si="99"/>
        <v>98.4</v>
      </c>
    </row>
    <row r="430" spans="1:8" s="37" customFormat="1" ht="14.4" x14ac:dyDescent="0.3">
      <c r="A430" s="16" t="s">
        <v>103</v>
      </c>
      <c r="B430" s="82" t="s">
        <v>92</v>
      </c>
      <c r="C430" s="57" t="s">
        <v>542</v>
      </c>
      <c r="D430" s="21" t="s">
        <v>219</v>
      </c>
      <c r="E430" s="97" t="s">
        <v>218</v>
      </c>
      <c r="F430" s="41">
        <v>50</v>
      </c>
      <c r="G430" s="41">
        <v>49.2</v>
      </c>
      <c r="H430" s="93">
        <f t="shared" si="99"/>
        <v>98.4</v>
      </c>
    </row>
    <row r="431" spans="1:8" s="37" customFormat="1" ht="93" x14ac:dyDescent="0.3">
      <c r="A431" s="16" t="s">
        <v>103</v>
      </c>
      <c r="B431" s="82" t="s">
        <v>92</v>
      </c>
      <c r="C431" s="73" t="s">
        <v>60</v>
      </c>
      <c r="D431" s="35"/>
      <c r="E431" s="53" t="s">
        <v>560</v>
      </c>
      <c r="F431" s="65">
        <f t="shared" ref="F431:G431" si="106">F432</f>
        <v>15906.7</v>
      </c>
      <c r="G431" s="65">
        <f t="shared" si="106"/>
        <v>15906.599999999999</v>
      </c>
      <c r="H431" s="62">
        <f t="shared" si="99"/>
        <v>100</v>
      </c>
    </row>
    <row r="432" spans="1:8" s="37" customFormat="1" ht="27" x14ac:dyDescent="0.3">
      <c r="A432" s="16" t="s">
        <v>103</v>
      </c>
      <c r="B432" s="82" t="s">
        <v>92</v>
      </c>
      <c r="C432" s="52" t="s">
        <v>61</v>
      </c>
      <c r="D432" s="35"/>
      <c r="E432" s="48" t="s">
        <v>166</v>
      </c>
      <c r="F432" s="58">
        <f>F433+F435+F437+F444+F439+F441</f>
        <v>15906.7</v>
      </c>
      <c r="G432" s="58">
        <f t="shared" ref="G432" si="107">G433+G435+G437+G444+G439+G441</f>
        <v>15906.599999999999</v>
      </c>
      <c r="H432" s="58">
        <f t="shared" si="99"/>
        <v>100</v>
      </c>
    </row>
    <row r="433" spans="1:12" s="37" customFormat="1" ht="27.75" customHeight="1" x14ac:dyDescent="0.3">
      <c r="A433" s="16" t="s">
        <v>103</v>
      </c>
      <c r="B433" s="82" t="s">
        <v>92</v>
      </c>
      <c r="C433" s="74">
        <v>210221100</v>
      </c>
      <c r="D433" s="16"/>
      <c r="E433" s="98" t="s">
        <v>168</v>
      </c>
      <c r="F433" s="39">
        <f>F434</f>
        <v>10757.400000000001</v>
      </c>
      <c r="G433" s="39">
        <f>G434</f>
        <v>10757.4</v>
      </c>
      <c r="H433" s="93">
        <f t="shared" si="99"/>
        <v>100</v>
      </c>
    </row>
    <row r="434" spans="1:12" s="37" customFormat="1" ht="14.4" x14ac:dyDescent="0.3">
      <c r="A434" s="16" t="s">
        <v>103</v>
      </c>
      <c r="B434" s="82" t="s">
        <v>92</v>
      </c>
      <c r="C434" s="74">
        <v>210221100</v>
      </c>
      <c r="D434" s="21" t="s">
        <v>219</v>
      </c>
      <c r="E434" s="97" t="s">
        <v>218</v>
      </c>
      <c r="F434" s="1">
        <f>10427.2-6.1+236+111.5-10.4-0.8</f>
        <v>10757.400000000001</v>
      </c>
      <c r="G434" s="1">
        <v>10757.4</v>
      </c>
      <c r="H434" s="93">
        <f t="shared" si="99"/>
        <v>100</v>
      </c>
      <c r="J434" s="148"/>
    </row>
    <row r="435" spans="1:12" s="37" customFormat="1" ht="79.2" x14ac:dyDescent="0.3">
      <c r="A435" s="16" t="s">
        <v>103</v>
      </c>
      <c r="B435" s="82" t="s">
        <v>92</v>
      </c>
      <c r="C435" s="74">
        <v>210210690</v>
      </c>
      <c r="D435" s="21"/>
      <c r="E435" s="97" t="s">
        <v>311</v>
      </c>
      <c r="F435" s="39">
        <f>F436</f>
        <v>4781.3999999999996</v>
      </c>
      <c r="G435" s="39">
        <f>G436</f>
        <v>4781.3999999999996</v>
      </c>
      <c r="H435" s="93">
        <f t="shared" si="99"/>
        <v>100</v>
      </c>
      <c r="J435" s="148"/>
      <c r="K435" s="148"/>
      <c r="L435" s="148"/>
    </row>
    <row r="436" spans="1:12" s="37" customFormat="1" ht="14.4" x14ac:dyDescent="0.3">
      <c r="A436" s="16" t="s">
        <v>103</v>
      </c>
      <c r="B436" s="82" t="s">
        <v>92</v>
      </c>
      <c r="C436" s="74">
        <v>210210690</v>
      </c>
      <c r="D436" s="21" t="s">
        <v>219</v>
      </c>
      <c r="E436" s="97" t="s">
        <v>218</v>
      </c>
      <c r="F436" s="130">
        <f>3753.9+1027.5</f>
        <v>4781.3999999999996</v>
      </c>
      <c r="G436" s="39">
        <v>4781.3999999999996</v>
      </c>
      <c r="H436" s="93">
        <f t="shared" si="99"/>
        <v>100</v>
      </c>
    </row>
    <row r="437" spans="1:12" s="37" customFormat="1" ht="79.2" x14ac:dyDescent="0.3">
      <c r="A437" s="16" t="s">
        <v>103</v>
      </c>
      <c r="B437" s="82" t="s">
        <v>92</v>
      </c>
      <c r="C437" s="74" t="s">
        <v>438</v>
      </c>
      <c r="D437" s="82"/>
      <c r="E437" s="97" t="s">
        <v>312</v>
      </c>
      <c r="F437" s="39">
        <f>SUM(F438:F438)</f>
        <v>48.3</v>
      </c>
      <c r="G437" s="39">
        <f>SUM(G438:G438)</f>
        <v>48.3</v>
      </c>
      <c r="H437" s="93">
        <f t="shared" si="99"/>
        <v>100</v>
      </c>
    </row>
    <row r="438" spans="1:12" s="37" customFormat="1" ht="14.4" x14ac:dyDescent="0.3">
      <c r="A438" s="82" t="s">
        <v>103</v>
      </c>
      <c r="B438" s="82" t="s">
        <v>92</v>
      </c>
      <c r="C438" s="74" t="s">
        <v>438</v>
      </c>
      <c r="D438" s="21" t="s">
        <v>219</v>
      </c>
      <c r="E438" s="163" t="s">
        <v>218</v>
      </c>
      <c r="F438" s="39">
        <f>31.8+6.1+10.4</f>
        <v>48.3</v>
      </c>
      <c r="G438" s="39">
        <v>48.3</v>
      </c>
      <c r="H438" s="93">
        <f t="shared" si="99"/>
        <v>100</v>
      </c>
    </row>
    <row r="439" spans="1:12" s="37" customFormat="1" ht="66" x14ac:dyDescent="0.3">
      <c r="A439" s="16" t="s">
        <v>103</v>
      </c>
      <c r="B439" s="82" t="s">
        <v>92</v>
      </c>
      <c r="C439" s="74">
        <v>210211390</v>
      </c>
      <c r="D439" s="161"/>
      <c r="E439" s="165" t="s">
        <v>711</v>
      </c>
      <c r="F439" s="162">
        <f>F440</f>
        <v>81.599999999999994</v>
      </c>
      <c r="G439" s="39">
        <f t="shared" ref="G439" si="108">G440</f>
        <v>81.5</v>
      </c>
      <c r="H439" s="93">
        <f t="shared" si="99"/>
        <v>99.9</v>
      </c>
    </row>
    <row r="440" spans="1:12" s="37" customFormat="1" ht="14.4" x14ac:dyDescent="0.3">
      <c r="A440" s="82" t="s">
        <v>103</v>
      </c>
      <c r="B440" s="82" t="s">
        <v>92</v>
      </c>
      <c r="C440" s="74">
        <v>210211390</v>
      </c>
      <c r="D440" s="21" t="s">
        <v>219</v>
      </c>
      <c r="E440" s="164" t="s">
        <v>218</v>
      </c>
      <c r="F440" s="39">
        <v>81.599999999999994</v>
      </c>
      <c r="G440" s="39">
        <v>81.5</v>
      </c>
      <c r="H440" s="93">
        <f t="shared" si="99"/>
        <v>99.9</v>
      </c>
    </row>
    <row r="441" spans="1:12" s="37" customFormat="1" ht="79.8" x14ac:dyDescent="0.3">
      <c r="A441" s="16" t="s">
        <v>103</v>
      </c>
      <c r="B441" s="82" t="s">
        <v>92</v>
      </c>
      <c r="C441" s="74" t="s">
        <v>712</v>
      </c>
      <c r="D441" s="21"/>
      <c r="E441" s="107" t="s">
        <v>713</v>
      </c>
      <c r="F441" s="39">
        <f>F442</f>
        <v>0.8</v>
      </c>
      <c r="G441" s="39">
        <f t="shared" ref="G441" si="109">G442</f>
        <v>0.8</v>
      </c>
      <c r="H441" s="93">
        <f t="shared" si="99"/>
        <v>100</v>
      </c>
    </row>
    <row r="442" spans="1:12" s="37" customFormat="1" ht="14.4" x14ac:dyDescent="0.3">
      <c r="A442" s="82" t="s">
        <v>103</v>
      </c>
      <c r="B442" s="82" t="s">
        <v>92</v>
      </c>
      <c r="C442" s="74" t="s">
        <v>712</v>
      </c>
      <c r="D442" s="21" t="s">
        <v>219</v>
      </c>
      <c r="E442" s="97" t="s">
        <v>218</v>
      </c>
      <c r="F442" s="39">
        <v>0.8</v>
      </c>
      <c r="G442" s="39">
        <v>0.8</v>
      </c>
      <c r="H442" s="93">
        <f t="shared" si="99"/>
        <v>100</v>
      </c>
    </row>
    <row r="443" spans="1:12" s="37" customFormat="1" ht="26.4" x14ac:dyDescent="0.3">
      <c r="A443" s="16" t="s">
        <v>103</v>
      </c>
      <c r="B443" s="82" t="s">
        <v>92</v>
      </c>
      <c r="C443" s="21" t="s">
        <v>637</v>
      </c>
      <c r="D443" s="82"/>
      <c r="E443" s="97" t="s">
        <v>611</v>
      </c>
      <c r="F443" s="41">
        <f>F444</f>
        <v>237.2</v>
      </c>
      <c r="G443" s="41">
        <f t="shared" ref="G443" si="110">G444</f>
        <v>237.2</v>
      </c>
      <c r="H443" s="93">
        <f t="shared" si="99"/>
        <v>100</v>
      </c>
    </row>
    <row r="444" spans="1:12" s="37" customFormat="1" ht="14.4" x14ac:dyDescent="0.3">
      <c r="A444" s="16" t="s">
        <v>103</v>
      </c>
      <c r="B444" s="82" t="s">
        <v>92</v>
      </c>
      <c r="C444" s="21" t="s">
        <v>637</v>
      </c>
      <c r="D444" s="21" t="s">
        <v>219</v>
      </c>
      <c r="E444" s="97" t="s">
        <v>218</v>
      </c>
      <c r="F444" s="41">
        <v>237.2</v>
      </c>
      <c r="G444" s="41">
        <v>237.2</v>
      </c>
      <c r="H444" s="93">
        <f t="shared" si="99"/>
        <v>100</v>
      </c>
    </row>
    <row r="445" spans="1:12" s="37" customFormat="1" ht="40.200000000000003" x14ac:dyDescent="0.3">
      <c r="A445" s="82" t="s">
        <v>103</v>
      </c>
      <c r="B445" s="82" t="s">
        <v>92</v>
      </c>
      <c r="C445" s="82" t="s">
        <v>25</v>
      </c>
      <c r="D445" s="82"/>
      <c r="E445" s="98" t="s">
        <v>39</v>
      </c>
      <c r="F445" s="41">
        <f>F446</f>
        <v>345</v>
      </c>
      <c r="G445" s="41">
        <f t="shared" ref="G445" si="111">G446</f>
        <v>345</v>
      </c>
      <c r="H445" s="93">
        <f t="shared" si="99"/>
        <v>100</v>
      </c>
    </row>
    <row r="446" spans="1:12" s="37" customFormat="1" ht="52.8" x14ac:dyDescent="0.3">
      <c r="A446" s="16" t="s">
        <v>103</v>
      </c>
      <c r="B446" s="82" t="s">
        <v>92</v>
      </c>
      <c r="C446" s="82" t="s">
        <v>556</v>
      </c>
      <c r="D446" s="16"/>
      <c r="E446" s="54" t="s">
        <v>554</v>
      </c>
      <c r="F446" s="41">
        <f>SUM(F447:F447)</f>
        <v>345</v>
      </c>
      <c r="G446" s="41">
        <f>SUM(G447:G447)</f>
        <v>345</v>
      </c>
      <c r="H446" s="93">
        <f t="shared" si="99"/>
        <v>100</v>
      </c>
    </row>
    <row r="447" spans="1:12" s="37" customFormat="1" ht="14.4" x14ac:dyDescent="0.3">
      <c r="A447" s="16" t="s">
        <v>103</v>
      </c>
      <c r="B447" s="82" t="s">
        <v>92</v>
      </c>
      <c r="C447" s="82" t="s">
        <v>556</v>
      </c>
      <c r="D447" s="21" t="s">
        <v>219</v>
      </c>
      <c r="E447" s="97" t="s">
        <v>218</v>
      </c>
      <c r="F447" s="39">
        <f>150+195</f>
        <v>345</v>
      </c>
      <c r="G447" s="39">
        <f>150+195</f>
        <v>345</v>
      </c>
      <c r="H447" s="93">
        <f t="shared" si="99"/>
        <v>100</v>
      </c>
    </row>
    <row r="448" spans="1:12" s="37" customFormat="1" ht="40.200000000000003" x14ac:dyDescent="0.3">
      <c r="A448" s="35" t="s">
        <v>103</v>
      </c>
      <c r="B448" s="35" t="s">
        <v>94</v>
      </c>
      <c r="C448" s="35"/>
      <c r="D448" s="35"/>
      <c r="E448" s="46" t="s">
        <v>2</v>
      </c>
      <c r="F448" s="42">
        <f t="shared" ref="F448:G450" si="112">F449</f>
        <v>209.2</v>
      </c>
      <c r="G448" s="42">
        <f t="shared" si="112"/>
        <v>193.9</v>
      </c>
      <c r="H448" s="42">
        <f t="shared" si="99"/>
        <v>92.7</v>
      </c>
    </row>
    <row r="449" spans="1:8" s="37" customFormat="1" ht="79.8" x14ac:dyDescent="0.3">
      <c r="A449" s="16" t="s">
        <v>103</v>
      </c>
      <c r="B449" s="16" t="s">
        <v>94</v>
      </c>
      <c r="C449" s="21" t="s">
        <v>74</v>
      </c>
      <c r="D449" s="35"/>
      <c r="E449" s="64" t="s">
        <v>559</v>
      </c>
      <c r="F449" s="62">
        <f t="shared" si="112"/>
        <v>209.2</v>
      </c>
      <c r="G449" s="62">
        <f t="shared" si="112"/>
        <v>193.9</v>
      </c>
      <c r="H449" s="62">
        <f t="shared" si="99"/>
        <v>92.7</v>
      </c>
    </row>
    <row r="450" spans="1:8" s="37" customFormat="1" ht="25.5" customHeight="1" x14ac:dyDescent="0.3">
      <c r="A450" s="16" t="s">
        <v>103</v>
      </c>
      <c r="B450" s="16" t="s">
        <v>94</v>
      </c>
      <c r="C450" s="52" t="s">
        <v>423</v>
      </c>
      <c r="D450" s="35"/>
      <c r="E450" s="46" t="s">
        <v>422</v>
      </c>
      <c r="F450" s="58">
        <f t="shared" si="112"/>
        <v>209.2</v>
      </c>
      <c r="G450" s="58">
        <f t="shared" si="112"/>
        <v>193.9</v>
      </c>
      <c r="H450" s="58">
        <f t="shared" ref="H450" si="113">ROUND((G450/F450*100),1)</f>
        <v>92.7</v>
      </c>
    </row>
    <row r="451" spans="1:8" s="37" customFormat="1" ht="39.6" x14ac:dyDescent="0.3">
      <c r="A451" s="16" t="s">
        <v>103</v>
      </c>
      <c r="B451" s="16" t="s">
        <v>94</v>
      </c>
      <c r="C451" s="57" t="s">
        <v>543</v>
      </c>
      <c r="D451" s="16"/>
      <c r="E451" s="97" t="s">
        <v>45</v>
      </c>
      <c r="F451" s="41">
        <f>F452</f>
        <v>209.2</v>
      </c>
      <c r="G451" s="41">
        <f>G452</f>
        <v>193.9</v>
      </c>
      <c r="H451" s="93">
        <f t="shared" ref="H451:H513" si="114">ROUND((G451/F451*100),1)</f>
        <v>92.7</v>
      </c>
    </row>
    <row r="452" spans="1:8" s="37" customFormat="1" ht="14.4" x14ac:dyDescent="0.3">
      <c r="A452" s="16" t="s">
        <v>103</v>
      </c>
      <c r="B452" s="16" t="s">
        <v>94</v>
      </c>
      <c r="C452" s="57" t="s">
        <v>543</v>
      </c>
      <c r="D452" s="21" t="s">
        <v>219</v>
      </c>
      <c r="E452" s="97" t="s">
        <v>218</v>
      </c>
      <c r="F452" s="93">
        <f>250-40.8</f>
        <v>209.2</v>
      </c>
      <c r="G452" s="93">
        <v>193.9</v>
      </c>
      <c r="H452" s="93">
        <f t="shared" si="114"/>
        <v>92.7</v>
      </c>
    </row>
    <row r="453" spans="1:8" s="37" customFormat="1" ht="14.4" x14ac:dyDescent="0.3">
      <c r="A453" s="35" t="s">
        <v>103</v>
      </c>
      <c r="B453" s="35" t="s">
        <v>103</v>
      </c>
      <c r="C453" s="35"/>
      <c r="D453" s="35"/>
      <c r="E453" s="46" t="s">
        <v>150</v>
      </c>
      <c r="F453" s="42">
        <f>F454+F467</f>
        <v>10814.300000000001</v>
      </c>
      <c r="G453" s="42">
        <f>G454+G467</f>
        <v>10814.300000000001</v>
      </c>
      <c r="H453" s="42">
        <f t="shared" si="114"/>
        <v>100</v>
      </c>
    </row>
    <row r="454" spans="1:8" ht="93" x14ac:dyDescent="0.3">
      <c r="A454" s="5" t="s">
        <v>103</v>
      </c>
      <c r="B454" s="5" t="s">
        <v>103</v>
      </c>
      <c r="C454" s="73" t="s">
        <v>60</v>
      </c>
      <c r="D454" s="35"/>
      <c r="E454" s="53" t="s">
        <v>560</v>
      </c>
      <c r="F454" s="65">
        <f>F455</f>
        <v>10604.300000000001</v>
      </c>
      <c r="G454" s="65">
        <f t="shared" ref="G454" si="115">G455</f>
        <v>10604.300000000001</v>
      </c>
      <c r="H454" s="62">
        <f t="shared" si="114"/>
        <v>100</v>
      </c>
    </row>
    <row r="455" spans="1:8" ht="26.4" x14ac:dyDescent="0.25">
      <c r="A455" s="16" t="s">
        <v>103</v>
      </c>
      <c r="B455" s="16" t="s">
        <v>103</v>
      </c>
      <c r="C455" s="52" t="s">
        <v>31</v>
      </c>
      <c r="D455" s="21"/>
      <c r="E455" s="48" t="s">
        <v>172</v>
      </c>
      <c r="F455" s="92">
        <f>F456+F458+F460+F462+F464</f>
        <v>10604.300000000001</v>
      </c>
      <c r="G455" s="92">
        <f>G456+G458+G460+G462+G464</f>
        <v>10604.300000000001</v>
      </c>
      <c r="H455" s="58">
        <f t="shared" si="114"/>
        <v>100</v>
      </c>
    </row>
    <row r="456" spans="1:8" ht="52.8" x14ac:dyDescent="0.25">
      <c r="A456" s="16" t="s">
        <v>103</v>
      </c>
      <c r="B456" s="16" t="s">
        <v>103</v>
      </c>
      <c r="C456" s="133" t="s">
        <v>446</v>
      </c>
      <c r="D456" s="16"/>
      <c r="E456" s="99" t="s">
        <v>200</v>
      </c>
      <c r="F456" s="39">
        <f>F457</f>
        <v>6.6</v>
      </c>
      <c r="G456" s="39">
        <f>G457</f>
        <v>6.6</v>
      </c>
      <c r="H456" s="93">
        <f t="shared" si="114"/>
        <v>100</v>
      </c>
    </row>
    <row r="457" spans="1:8" ht="39.6" x14ac:dyDescent="0.25">
      <c r="A457" s="16" t="s">
        <v>103</v>
      </c>
      <c r="B457" s="16" t="s">
        <v>103</v>
      </c>
      <c r="C457" s="133" t="s">
        <v>446</v>
      </c>
      <c r="D457" s="82" t="s">
        <v>205</v>
      </c>
      <c r="E457" s="97" t="s">
        <v>206</v>
      </c>
      <c r="F457" s="41">
        <v>6.6</v>
      </c>
      <c r="G457" s="41">
        <v>6.6</v>
      </c>
      <c r="H457" s="93">
        <f t="shared" si="114"/>
        <v>100</v>
      </c>
    </row>
    <row r="458" spans="1:8" ht="26.4" x14ac:dyDescent="0.25">
      <c r="A458" s="16" t="s">
        <v>103</v>
      </c>
      <c r="B458" s="16" t="s">
        <v>103</v>
      </c>
      <c r="C458" s="133" t="s">
        <v>447</v>
      </c>
      <c r="D458" s="16"/>
      <c r="E458" s="97" t="s">
        <v>173</v>
      </c>
      <c r="F458" s="41">
        <f>F459</f>
        <v>300.60000000000002</v>
      </c>
      <c r="G458" s="41">
        <f>G459</f>
        <v>300.60000000000002</v>
      </c>
      <c r="H458" s="93">
        <f t="shared" si="114"/>
        <v>100</v>
      </c>
    </row>
    <row r="459" spans="1:8" ht="39.6" x14ac:dyDescent="0.25">
      <c r="A459" s="16" t="s">
        <v>103</v>
      </c>
      <c r="B459" s="16" t="s">
        <v>103</v>
      </c>
      <c r="C459" s="133" t="s">
        <v>447</v>
      </c>
      <c r="D459" s="82" t="s">
        <v>205</v>
      </c>
      <c r="E459" s="97" t="s">
        <v>206</v>
      </c>
      <c r="F459" s="41">
        <f>289.6-4+15</f>
        <v>300.60000000000002</v>
      </c>
      <c r="G459" s="41">
        <v>300.60000000000002</v>
      </c>
      <c r="H459" s="93">
        <f t="shared" si="114"/>
        <v>100</v>
      </c>
    </row>
    <row r="460" spans="1:8" x14ac:dyDescent="0.25">
      <c r="A460" s="16" t="s">
        <v>103</v>
      </c>
      <c r="B460" s="16" t="s">
        <v>103</v>
      </c>
      <c r="C460" s="133" t="s">
        <v>448</v>
      </c>
      <c r="D460" s="82"/>
      <c r="E460" s="54" t="s">
        <v>370</v>
      </c>
      <c r="F460" s="41">
        <f>F461</f>
        <v>50</v>
      </c>
      <c r="G460" s="41">
        <f>G461</f>
        <v>50</v>
      </c>
      <c r="H460" s="93">
        <f t="shared" si="114"/>
        <v>100</v>
      </c>
    </row>
    <row r="461" spans="1:8" ht="39.6" x14ac:dyDescent="0.25">
      <c r="A461" s="16" t="s">
        <v>103</v>
      </c>
      <c r="B461" s="16" t="s">
        <v>103</v>
      </c>
      <c r="C461" s="133" t="s">
        <v>448</v>
      </c>
      <c r="D461" s="82" t="s">
        <v>205</v>
      </c>
      <c r="E461" s="97" t="s">
        <v>206</v>
      </c>
      <c r="F461" s="41">
        <v>50</v>
      </c>
      <c r="G461" s="41">
        <v>50</v>
      </c>
      <c r="H461" s="93">
        <f t="shared" si="114"/>
        <v>100</v>
      </c>
    </row>
    <row r="462" spans="1:8" ht="42.75" customHeight="1" x14ac:dyDescent="0.25">
      <c r="A462" s="16" t="s">
        <v>103</v>
      </c>
      <c r="B462" s="16" t="s">
        <v>103</v>
      </c>
      <c r="C462" s="74">
        <v>230221100</v>
      </c>
      <c r="D462" s="16"/>
      <c r="E462" s="97" t="s">
        <v>0</v>
      </c>
      <c r="F462" s="41">
        <f t="shared" ref="F462:G462" si="116">F463</f>
        <v>8963.4</v>
      </c>
      <c r="G462" s="41">
        <f t="shared" si="116"/>
        <v>8963.4</v>
      </c>
      <c r="H462" s="93">
        <f t="shared" si="114"/>
        <v>100</v>
      </c>
    </row>
    <row r="463" spans="1:8" x14ac:dyDescent="0.25">
      <c r="A463" s="16" t="s">
        <v>103</v>
      </c>
      <c r="B463" s="16" t="s">
        <v>103</v>
      </c>
      <c r="C463" s="74">
        <v>230221100</v>
      </c>
      <c r="D463" s="82" t="s">
        <v>219</v>
      </c>
      <c r="E463" s="97" t="s">
        <v>218</v>
      </c>
      <c r="F463" s="41">
        <f>8853.6+109.8</f>
        <v>8963.4</v>
      </c>
      <c r="G463" s="41">
        <v>8963.4</v>
      </c>
      <c r="H463" s="93">
        <f t="shared" si="114"/>
        <v>100</v>
      </c>
    </row>
    <row r="464" spans="1:8" ht="66" x14ac:dyDescent="0.25">
      <c r="A464" s="16" t="s">
        <v>103</v>
      </c>
      <c r="B464" s="16" t="s">
        <v>103</v>
      </c>
      <c r="C464" s="21" t="s">
        <v>451</v>
      </c>
      <c r="D464" s="82"/>
      <c r="E464" s="97" t="s">
        <v>753</v>
      </c>
      <c r="F464" s="41">
        <f t="shared" ref="F464:G465" si="117">F465</f>
        <v>1283.7</v>
      </c>
      <c r="G464" s="41">
        <f t="shared" si="117"/>
        <v>1283.7</v>
      </c>
      <c r="H464" s="93">
        <f t="shared" si="114"/>
        <v>100</v>
      </c>
    </row>
    <row r="465" spans="1:8" ht="57.75" customHeight="1" x14ac:dyDescent="0.25">
      <c r="A465" s="16" t="s">
        <v>103</v>
      </c>
      <c r="B465" s="16" t="s">
        <v>103</v>
      </c>
      <c r="C465" s="74">
        <v>230321210</v>
      </c>
      <c r="D465" s="82"/>
      <c r="E465" s="97" t="s">
        <v>449</v>
      </c>
      <c r="F465" s="41">
        <f t="shared" si="117"/>
        <v>1283.7</v>
      </c>
      <c r="G465" s="41">
        <f t="shared" si="117"/>
        <v>1283.7</v>
      </c>
      <c r="H465" s="93">
        <f t="shared" si="114"/>
        <v>100</v>
      </c>
    </row>
    <row r="466" spans="1:8" x14ac:dyDescent="0.25">
      <c r="A466" s="82" t="s">
        <v>103</v>
      </c>
      <c r="B466" s="82" t="s">
        <v>103</v>
      </c>
      <c r="C466" s="74">
        <v>230321210</v>
      </c>
      <c r="D466" s="21" t="s">
        <v>219</v>
      </c>
      <c r="E466" s="97" t="s">
        <v>218</v>
      </c>
      <c r="F466" s="41">
        <v>1283.7</v>
      </c>
      <c r="G466" s="41">
        <v>1283.7</v>
      </c>
      <c r="H466" s="58">
        <f t="shared" si="114"/>
        <v>100</v>
      </c>
    </row>
    <row r="467" spans="1:8" ht="92.4" x14ac:dyDescent="0.25">
      <c r="A467" s="5" t="s">
        <v>103</v>
      </c>
      <c r="B467" s="5" t="s">
        <v>103</v>
      </c>
      <c r="C467" s="73" t="s">
        <v>72</v>
      </c>
      <c r="D467" s="16"/>
      <c r="E467" s="53" t="s">
        <v>569</v>
      </c>
      <c r="F467" s="95">
        <f>F468+F473</f>
        <v>210</v>
      </c>
      <c r="G467" s="95">
        <f t="shared" ref="G467" si="118">G468+G473</f>
        <v>210</v>
      </c>
      <c r="H467" s="62">
        <f t="shared" si="114"/>
        <v>100</v>
      </c>
    </row>
    <row r="468" spans="1:8" ht="79.2" x14ac:dyDescent="0.25">
      <c r="A468" s="47" t="s">
        <v>103</v>
      </c>
      <c r="B468" s="47" t="s">
        <v>103</v>
      </c>
      <c r="C468" s="52" t="s">
        <v>504</v>
      </c>
      <c r="D468" s="16"/>
      <c r="E468" s="48" t="s">
        <v>174</v>
      </c>
      <c r="F468" s="92">
        <f>F469+F471</f>
        <v>170</v>
      </c>
      <c r="G468" s="92">
        <f t="shared" ref="G468" si="119">G469+G471</f>
        <v>170</v>
      </c>
      <c r="H468" s="58">
        <f t="shared" si="114"/>
        <v>100</v>
      </c>
    </row>
    <row r="469" spans="1:8" ht="105.6" x14ac:dyDescent="0.25">
      <c r="A469" s="16" t="s">
        <v>103</v>
      </c>
      <c r="B469" s="16" t="s">
        <v>103</v>
      </c>
      <c r="C469" s="74">
        <v>1020123085</v>
      </c>
      <c r="D469" s="16"/>
      <c r="E469" s="97" t="s">
        <v>175</v>
      </c>
      <c r="F469" s="41">
        <f>F470</f>
        <v>5</v>
      </c>
      <c r="G469" s="41">
        <f>G470</f>
        <v>5</v>
      </c>
      <c r="H469" s="93">
        <f t="shared" si="114"/>
        <v>100</v>
      </c>
    </row>
    <row r="470" spans="1:8" ht="39.6" x14ac:dyDescent="0.25">
      <c r="A470" s="16" t="s">
        <v>103</v>
      </c>
      <c r="B470" s="16" t="s">
        <v>103</v>
      </c>
      <c r="C470" s="74">
        <v>1020123085</v>
      </c>
      <c r="D470" s="82" t="s">
        <v>205</v>
      </c>
      <c r="E470" s="97" t="s">
        <v>206</v>
      </c>
      <c r="F470" s="41">
        <v>5</v>
      </c>
      <c r="G470" s="41">
        <v>5</v>
      </c>
      <c r="H470" s="58">
        <f t="shared" si="114"/>
        <v>100</v>
      </c>
    </row>
    <row r="471" spans="1:8" x14ac:dyDescent="0.25">
      <c r="A471" s="16" t="s">
        <v>103</v>
      </c>
      <c r="B471" s="16" t="s">
        <v>103</v>
      </c>
      <c r="C471" s="74">
        <v>1020123086</v>
      </c>
      <c r="D471" s="16"/>
      <c r="E471" s="97" t="s">
        <v>176</v>
      </c>
      <c r="F471" s="41">
        <f>F472</f>
        <v>165</v>
      </c>
      <c r="G471" s="41">
        <f>G472</f>
        <v>165</v>
      </c>
      <c r="H471" s="93">
        <f t="shared" si="114"/>
        <v>100</v>
      </c>
    </row>
    <row r="472" spans="1:8" ht="39.6" x14ac:dyDescent="0.25">
      <c r="A472" s="16" t="s">
        <v>103</v>
      </c>
      <c r="B472" s="16" t="s">
        <v>103</v>
      </c>
      <c r="C472" s="74">
        <v>1020123086</v>
      </c>
      <c r="D472" s="82" t="s">
        <v>205</v>
      </c>
      <c r="E472" s="97" t="s">
        <v>206</v>
      </c>
      <c r="F472" s="41">
        <f>35+130</f>
        <v>165</v>
      </c>
      <c r="G472" s="41">
        <f>35+130</f>
        <v>165</v>
      </c>
      <c r="H472" s="93">
        <f t="shared" si="114"/>
        <v>100</v>
      </c>
    </row>
    <row r="473" spans="1:8" ht="52.8" x14ac:dyDescent="0.25">
      <c r="A473" s="47" t="s">
        <v>103</v>
      </c>
      <c r="B473" s="47" t="s">
        <v>103</v>
      </c>
      <c r="C473" s="52" t="s">
        <v>608</v>
      </c>
      <c r="D473" s="82"/>
      <c r="E473" s="97" t="s">
        <v>634</v>
      </c>
      <c r="F473" s="41">
        <f>F474+F476</f>
        <v>40</v>
      </c>
      <c r="G473" s="41">
        <f t="shared" ref="G473" si="120">G474+G476</f>
        <v>40</v>
      </c>
      <c r="H473" s="93">
        <f t="shared" si="114"/>
        <v>100</v>
      </c>
    </row>
    <row r="474" spans="1:8" ht="39.6" x14ac:dyDescent="0.25">
      <c r="A474" s="16" t="s">
        <v>103</v>
      </c>
      <c r="B474" s="16" t="s">
        <v>103</v>
      </c>
      <c r="C474" s="74">
        <v>1030323090</v>
      </c>
      <c r="D474" s="82"/>
      <c r="E474" s="97" t="s">
        <v>609</v>
      </c>
      <c r="F474" s="41">
        <f>F475</f>
        <v>10</v>
      </c>
      <c r="G474" s="41">
        <f>G475</f>
        <v>10</v>
      </c>
      <c r="H474" s="93">
        <f t="shared" si="114"/>
        <v>100</v>
      </c>
    </row>
    <row r="475" spans="1:8" ht="39.6" x14ac:dyDescent="0.25">
      <c r="A475" s="16" t="s">
        <v>103</v>
      </c>
      <c r="B475" s="16" t="s">
        <v>103</v>
      </c>
      <c r="C475" s="74">
        <v>1030323090</v>
      </c>
      <c r="D475" s="82" t="s">
        <v>205</v>
      </c>
      <c r="E475" s="97" t="s">
        <v>206</v>
      </c>
      <c r="F475" s="41">
        <v>10</v>
      </c>
      <c r="G475" s="41">
        <v>10</v>
      </c>
      <c r="H475" s="93">
        <f t="shared" si="114"/>
        <v>100</v>
      </c>
    </row>
    <row r="476" spans="1:8" ht="39.6" x14ac:dyDescent="0.25">
      <c r="A476" s="16" t="s">
        <v>103</v>
      </c>
      <c r="B476" s="16" t="s">
        <v>103</v>
      </c>
      <c r="C476" s="74">
        <v>1030323092</v>
      </c>
      <c r="D476" s="82"/>
      <c r="E476" s="97" t="s">
        <v>610</v>
      </c>
      <c r="F476" s="41">
        <f>F477</f>
        <v>30</v>
      </c>
      <c r="G476" s="41">
        <f>G477</f>
        <v>30</v>
      </c>
      <c r="H476" s="93">
        <f t="shared" si="114"/>
        <v>100</v>
      </c>
    </row>
    <row r="477" spans="1:8" ht="39.6" x14ac:dyDescent="0.25">
      <c r="A477" s="16" t="s">
        <v>103</v>
      </c>
      <c r="B477" s="16" t="s">
        <v>103</v>
      </c>
      <c r="C477" s="74">
        <v>1030323092</v>
      </c>
      <c r="D477" s="82" t="s">
        <v>205</v>
      </c>
      <c r="E477" s="97" t="s">
        <v>206</v>
      </c>
      <c r="F477" s="41">
        <v>30</v>
      </c>
      <c r="G477" s="41">
        <v>30</v>
      </c>
      <c r="H477" s="93">
        <f t="shared" si="114"/>
        <v>100</v>
      </c>
    </row>
    <row r="478" spans="1:8" ht="27" x14ac:dyDescent="0.3">
      <c r="A478" s="35" t="s">
        <v>103</v>
      </c>
      <c r="B478" s="35" t="s">
        <v>98</v>
      </c>
      <c r="C478" s="35"/>
      <c r="D478" s="35"/>
      <c r="E478" s="46" t="s">
        <v>108</v>
      </c>
      <c r="F478" s="42">
        <f t="shared" ref="F478:G478" si="121">F479</f>
        <v>13980.7</v>
      </c>
      <c r="G478" s="42">
        <f t="shared" si="121"/>
        <v>13324.6</v>
      </c>
      <c r="H478" s="42">
        <f t="shared" si="114"/>
        <v>95.3</v>
      </c>
    </row>
    <row r="479" spans="1:8" s="20" customFormat="1" ht="79.8" x14ac:dyDescent="0.3">
      <c r="A479" s="16" t="s">
        <v>103</v>
      </c>
      <c r="B479" s="16" t="s">
        <v>98</v>
      </c>
      <c r="C479" s="21" t="s">
        <v>74</v>
      </c>
      <c r="D479" s="35"/>
      <c r="E479" s="64" t="s">
        <v>559</v>
      </c>
      <c r="F479" s="62">
        <f>F480+F489+F507</f>
        <v>13980.7</v>
      </c>
      <c r="G479" s="62">
        <f>G480+G489+G507</f>
        <v>13324.6</v>
      </c>
      <c r="H479" s="62">
        <f t="shared" si="114"/>
        <v>95.3</v>
      </c>
    </row>
    <row r="480" spans="1:8" s="20" customFormat="1" ht="42" customHeight="1" x14ac:dyDescent="0.25">
      <c r="A480" s="16" t="s">
        <v>103</v>
      </c>
      <c r="B480" s="16" t="s">
        <v>98</v>
      </c>
      <c r="C480" s="52" t="s">
        <v>76</v>
      </c>
      <c r="D480" s="21"/>
      <c r="E480" s="46" t="s">
        <v>549</v>
      </c>
      <c r="F480" s="58">
        <f>F481+F483+F486</f>
        <v>3989.1000000000004</v>
      </c>
      <c r="G480" s="58">
        <f t="shared" ref="G480" si="122">G481+G483+G486</f>
        <v>3337.3</v>
      </c>
      <c r="H480" s="58">
        <f t="shared" si="114"/>
        <v>83.7</v>
      </c>
    </row>
    <row r="481" spans="1:10" s="20" customFormat="1" ht="21" customHeight="1" x14ac:dyDescent="0.25">
      <c r="A481" s="16" t="s">
        <v>103</v>
      </c>
      <c r="B481" s="16" t="s">
        <v>98</v>
      </c>
      <c r="C481" s="57" t="s">
        <v>403</v>
      </c>
      <c r="D481" s="21"/>
      <c r="E481" s="97" t="s">
        <v>46</v>
      </c>
      <c r="F481" s="41">
        <f>F482</f>
        <v>1506.9</v>
      </c>
      <c r="G481" s="41">
        <f>G482</f>
        <v>1441.7</v>
      </c>
      <c r="H481" s="93">
        <f t="shared" si="114"/>
        <v>95.7</v>
      </c>
      <c r="J481" s="221"/>
    </row>
    <row r="482" spans="1:10" s="20" customFormat="1" ht="15.75" customHeight="1" x14ac:dyDescent="0.25">
      <c r="A482" s="16" t="s">
        <v>103</v>
      </c>
      <c r="B482" s="16" t="s">
        <v>98</v>
      </c>
      <c r="C482" s="57" t="s">
        <v>403</v>
      </c>
      <c r="D482" s="21" t="s">
        <v>219</v>
      </c>
      <c r="E482" s="97" t="s">
        <v>218</v>
      </c>
      <c r="F482" s="41">
        <f>1200.2+306.7</f>
        <v>1506.9</v>
      </c>
      <c r="G482" s="41">
        <v>1441.7</v>
      </c>
      <c r="H482" s="93">
        <f t="shared" si="114"/>
        <v>95.7</v>
      </c>
    </row>
    <row r="483" spans="1:10" s="20" customFormat="1" ht="42" customHeight="1" x14ac:dyDescent="0.25">
      <c r="A483" s="16" t="s">
        <v>103</v>
      </c>
      <c r="B483" s="16" t="s">
        <v>98</v>
      </c>
      <c r="C483" s="57" t="s">
        <v>405</v>
      </c>
      <c r="D483" s="21"/>
      <c r="E483" s="97" t="s">
        <v>404</v>
      </c>
      <c r="F483" s="41">
        <f>SUM(F484:F485)</f>
        <v>2341.8000000000002</v>
      </c>
      <c r="G483" s="41">
        <f>SUM(G484:G485)</f>
        <v>1755.2</v>
      </c>
      <c r="H483" s="93">
        <f t="shared" si="114"/>
        <v>75</v>
      </c>
    </row>
    <row r="484" spans="1:10" s="20" customFormat="1" ht="15.75" customHeight="1" x14ac:dyDescent="0.25">
      <c r="A484" s="16" t="s">
        <v>103</v>
      </c>
      <c r="B484" s="16" t="s">
        <v>98</v>
      </c>
      <c r="C484" s="57" t="s">
        <v>405</v>
      </c>
      <c r="D484" s="21" t="s">
        <v>219</v>
      </c>
      <c r="E484" s="97" t="s">
        <v>218</v>
      </c>
      <c r="F484" s="39">
        <v>2141.8000000000002</v>
      </c>
      <c r="G484" s="39">
        <v>1656.4</v>
      </c>
      <c r="H484" s="93">
        <f t="shared" si="114"/>
        <v>77.3</v>
      </c>
    </row>
    <row r="485" spans="1:10" s="20" customFormat="1" ht="63.75" customHeight="1" x14ac:dyDescent="0.25">
      <c r="A485" s="16" t="s">
        <v>103</v>
      </c>
      <c r="B485" s="16" t="s">
        <v>103</v>
      </c>
      <c r="C485" s="57" t="s">
        <v>405</v>
      </c>
      <c r="D485" s="16" t="s">
        <v>12</v>
      </c>
      <c r="E485" s="97" t="s">
        <v>361</v>
      </c>
      <c r="F485" s="41">
        <v>200</v>
      </c>
      <c r="G485" s="41">
        <v>98.8</v>
      </c>
      <c r="H485" s="93">
        <f t="shared" si="114"/>
        <v>49.4</v>
      </c>
    </row>
    <row r="486" spans="1:10" s="20" customFormat="1" ht="39.6" x14ac:dyDescent="0.25">
      <c r="A486" s="16" t="s">
        <v>103</v>
      </c>
      <c r="B486" s="16" t="s">
        <v>98</v>
      </c>
      <c r="C486" s="57" t="s">
        <v>545</v>
      </c>
      <c r="D486" s="21"/>
      <c r="E486" s="97" t="s">
        <v>132</v>
      </c>
      <c r="F486" s="41">
        <f>SUM(F487:F488)</f>
        <v>140.4</v>
      </c>
      <c r="G486" s="41">
        <f>SUM(G487:G488)</f>
        <v>140.4</v>
      </c>
      <c r="H486" s="93">
        <f t="shared" si="114"/>
        <v>100</v>
      </c>
    </row>
    <row r="487" spans="1:10" s="20" customFormat="1" ht="26.4" x14ac:dyDescent="0.25">
      <c r="A487" s="16" t="s">
        <v>103</v>
      </c>
      <c r="B487" s="16" t="s">
        <v>98</v>
      </c>
      <c r="C487" s="57" t="s">
        <v>545</v>
      </c>
      <c r="D487" s="82" t="s">
        <v>65</v>
      </c>
      <c r="E487" s="55" t="s">
        <v>128</v>
      </c>
      <c r="F487" s="41">
        <f>88.5-40-26.8</f>
        <v>21.7</v>
      </c>
      <c r="G487" s="41">
        <v>21.7</v>
      </c>
      <c r="H487" s="93">
        <f t="shared" si="114"/>
        <v>100</v>
      </c>
    </row>
    <row r="488" spans="1:10" s="20" customFormat="1" ht="39.6" x14ac:dyDescent="0.25">
      <c r="A488" s="16" t="s">
        <v>103</v>
      </c>
      <c r="B488" s="16" t="s">
        <v>98</v>
      </c>
      <c r="C488" s="57" t="s">
        <v>545</v>
      </c>
      <c r="D488" s="82" t="s">
        <v>205</v>
      </c>
      <c r="E488" s="97" t="s">
        <v>206</v>
      </c>
      <c r="F488" s="41">
        <f>94.9-6.2+30</f>
        <v>118.7</v>
      </c>
      <c r="G488" s="41">
        <v>118.7</v>
      </c>
      <c r="H488" s="58">
        <f t="shared" si="114"/>
        <v>100</v>
      </c>
    </row>
    <row r="489" spans="1:10" s="20" customFormat="1" ht="24.75" customHeight="1" x14ac:dyDescent="0.25">
      <c r="A489" s="16" t="s">
        <v>103</v>
      </c>
      <c r="B489" s="16" t="s">
        <v>98</v>
      </c>
      <c r="C489" s="52" t="s">
        <v>423</v>
      </c>
      <c r="D489" s="82"/>
      <c r="E489" s="46" t="s">
        <v>422</v>
      </c>
      <c r="F489" s="41">
        <f>F490+F492+F494+F496+F498+F501+F503+F505</f>
        <v>1309.9000000000001</v>
      </c>
      <c r="G489" s="41">
        <f>G490+G492+G494+G496+G498+G501+G503+G505</f>
        <v>1309.9000000000001</v>
      </c>
      <c r="H489" s="93">
        <f t="shared" si="114"/>
        <v>100</v>
      </c>
    </row>
    <row r="490" spans="1:10" s="20" customFormat="1" ht="52.8" x14ac:dyDescent="0.25">
      <c r="A490" s="16" t="s">
        <v>103</v>
      </c>
      <c r="B490" s="16" t="s">
        <v>98</v>
      </c>
      <c r="C490" s="21" t="s">
        <v>546</v>
      </c>
      <c r="D490" s="16"/>
      <c r="E490" s="96" t="s">
        <v>425</v>
      </c>
      <c r="F490" s="39">
        <f>F491</f>
        <v>105.00000000000001</v>
      </c>
      <c r="G490" s="39">
        <f>G491</f>
        <v>105</v>
      </c>
      <c r="H490" s="93">
        <f t="shared" si="114"/>
        <v>100</v>
      </c>
    </row>
    <row r="491" spans="1:10" s="20" customFormat="1" ht="13.8" x14ac:dyDescent="0.25">
      <c r="A491" s="16" t="s">
        <v>103</v>
      </c>
      <c r="B491" s="16" t="s">
        <v>98</v>
      </c>
      <c r="C491" s="21" t="s">
        <v>546</v>
      </c>
      <c r="D491" s="82" t="s">
        <v>353</v>
      </c>
      <c r="E491" s="97" t="s">
        <v>354</v>
      </c>
      <c r="F491" s="41">
        <f>134.3-29.3</f>
        <v>105.00000000000001</v>
      </c>
      <c r="G491" s="41">
        <v>105</v>
      </c>
      <c r="H491" s="93">
        <f t="shared" si="114"/>
        <v>100</v>
      </c>
    </row>
    <row r="492" spans="1:10" s="20" customFormat="1" ht="39.6" x14ac:dyDescent="0.25">
      <c r="A492" s="16" t="s">
        <v>103</v>
      </c>
      <c r="B492" s="16" t="s">
        <v>98</v>
      </c>
      <c r="C492" s="57" t="s">
        <v>547</v>
      </c>
      <c r="D492" s="16"/>
      <c r="E492" s="97" t="s">
        <v>50</v>
      </c>
      <c r="F492" s="41">
        <f>F493</f>
        <v>130.1</v>
      </c>
      <c r="G492" s="41">
        <f>G493</f>
        <v>130.1</v>
      </c>
      <c r="H492" s="93">
        <f t="shared" si="114"/>
        <v>100</v>
      </c>
    </row>
    <row r="493" spans="1:10" s="20" customFormat="1" ht="39.6" x14ac:dyDescent="0.25">
      <c r="A493" s="16" t="s">
        <v>103</v>
      </c>
      <c r="B493" s="16" t="s">
        <v>98</v>
      </c>
      <c r="C493" s="57" t="s">
        <v>547</v>
      </c>
      <c r="D493" s="82" t="s">
        <v>205</v>
      </c>
      <c r="E493" s="97" t="s">
        <v>206</v>
      </c>
      <c r="F493" s="41">
        <f>123.9+6.2</f>
        <v>130.1</v>
      </c>
      <c r="G493" s="41">
        <v>130.1</v>
      </c>
      <c r="H493" s="93">
        <f t="shared" si="114"/>
        <v>100</v>
      </c>
    </row>
    <row r="494" spans="1:10" s="20" customFormat="1" ht="39.6" x14ac:dyDescent="0.25">
      <c r="A494" s="16" t="s">
        <v>103</v>
      </c>
      <c r="B494" s="16" t="s">
        <v>98</v>
      </c>
      <c r="C494" s="57" t="s">
        <v>544</v>
      </c>
      <c r="D494" s="16"/>
      <c r="E494" s="54" t="s">
        <v>502</v>
      </c>
      <c r="F494" s="93">
        <f>F495</f>
        <v>37.499999999999993</v>
      </c>
      <c r="G494" s="93">
        <f>G495</f>
        <v>37.5</v>
      </c>
      <c r="H494" s="93">
        <f t="shared" si="114"/>
        <v>100</v>
      </c>
    </row>
    <row r="495" spans="1:10" s="20" customFormat="1" ht="13.8" x14ac:dyDescent="0.25">
      <c r="A495" s="16" t="s">
        <v>103</v>
      </c>
      <c r="B495" s="16" t="s">
        <v>98</v>
      </c>
      <c r="C495" s="57" t="s">
        <v>544</v>
      </c>
      <c r="D495" s="21" t="s">
        <v>219</v>
      </c>
      <c r="E495" s="97" t="s">
        <v>218</v>
      </c>
      <c r="F495" s="93">
        <f>71.1-15.1-18.5</f>
        <v>37.499999999999993</v>
      </c>
      <c r="G495" s="93">
        <v>37.5</v>
      </c>
      <c r="H495" s="93">
        <f t="shared" si="114"/>
        <v>100</v>
      </c>
    </row>
    <row r="496" spans="1:10" s="20" customFormat="1" ht="66" x14ac:dyDescent="0.25">
      <c r="A496" s="16" t="s">
        <v>103</v>
      </c>
      <c r="B496" s="16" t="s">
        <v>98</v>
      </c>
      <c r="C496" s="80">
        <v>140323020</v>
      </c>
      <c r="D496" s="82"/>
      <c r="E496" s="97" t="s">
        <v>131</v>
      </c>
      <c r="F496" s="41">
        <f>F497</f>
        <v>330.20000000000005</v>
      </c>
      <c r="G496" s="41">
        <f>G497</f>
        <v>330.20000000000005</v>
      </c>
      <c r="H496" s="93">
        <f t="shared" si="114"/>
        <v>100</v>
      </c>
    </row>
    <row r="497" spans="1:10" s="20" customFormat="1" ht="39.6" x14ac:dyDescent="0.25">
      <c r="A497" s="16" t="s">
        <v>103</v>
      </c>
      <c r="B497" s="16" t="s">
        <v>98</v>
      </c>
      <c r="C497" s="80">
        <v>140323020</v>
      </c>
      <c r="D497" s="82" t="s">
        <v>205</v>
      </c>
      <c r="E497" s="97" t="s">
        <v>206</v>
      </c>
      <c r="F497" s="41">
        <f>112+140.5+44.1+15.1+18.5</f>
        <v>330.20000000000005</v>
      </c>
      <c r="G497" s="41">
        <f>112+140.5+44.1+15.1+18.5</f>
        <v>330.20000000000005</v>
      </c>
      <c r="H497" s="93">
        <f t="shared" si="114"/>
        <v>100</v>
      </c>
    </row>
    <row r="498" spans="1:10" s="20" customFormat="1" ht="90" customHeight="1" x14ac:dyDescent="0.25">
      <c r="A498" s="16" t="s">
        <v>103</v>
      </c>
      <c r="B498" s="16" t="s">
        <v>98</v>
      </c>
      <c r="C498" s="80">
        <v>140323025</v>
      </c>
      <c r="D498" s="82"/>
      <c r="E498" s="97" t="s">
        <v>431</v>
      </c>
      <c r="F498" s="41">
        <f>SUM(F499:F500)</f>
        <v>332.3</v>
      </c>
      <c r="G498" s="41">
        <f t="shared" ref="G498" si="123">SUM(G499:G500)</f>
        <v>332.3</v>
      </c>
      <c r="H498" s="93">
        <f t="shared" si="114"/>
        <v>100</v>
      </c>
    </row>
    <row r="499" spans="1:10" s="20" customFormat="1" ht="39.6" x14ac:dyDescent="0.25">
      <c r="A499" s="16" t="s">
        <v>103</v>
      </c>
      <c r="B499" s="16" t="s">
        <v>98</v>
      </c>
      <c r="C499" s="80">
        <v>140323025</v>
      </c>
      <c r="D499" s="82" t="s">
        <v>205</v>
      </c>
      <c r="E499" s="97" t="s">
        <v>206</v>
      </c>
      <c r="F499" s="41">
        <f>322.3-35-5+10</f>
        <v>292.3</v>
      </c>
      <c r="G499" s="41">
        <v>292.3</v>
      </c>
      <c r="H499" s="93">
        <f t="shared" si="114"/>
        <v>100</v>
      </c>
    </row>
    <row r="500" spans="1:10" s="20" customFormat="1" ht="13.8" x14ac:dyDescent="0.25">
      <c r="A500" s="16" t="s">
        <v>103</v>
      </c>
      <c r="B500" s="16" t="s">
        <v>98</v>
      </c>
      <c r="C500" s="80">
        <v>140323025</v>
      </c>
      <c r="D500" s="82" t="s">
        <v>635</v>
      </c>
      <c r="E500" s="97" t="s">
        <v>636</v>
      </c>
      <c r="F500" s="41">
        <f>35+5</f>
        <v>40</v>
      </c>
      <c r="G500" s="41">
        <f>35+5</f>
        <v>40</v>
      </c>
      <c r="H500" s="93">
        <f t="shared" si="114"/>
        <v>100</v>
      </c>
    </row>
    <row r="501" spans="1:10" s="20" customFormat="1" ht="66" x14ac:dyDescent="0.25">
      <c r="A501" s="16" t="s">
        <v>103</v>
      </c>
      <c r="B501" s="16" t="s">
        <v>98</v>
      </c>
      <c r="C501" s="80" t="s">
        <v>432</v>
      </c>
      <c r="D501" s="82"/>
      <c r="E501" s="97" t="s">
        <v>433</v>
      </c>
      <c r="F501" s="41">
        <f>F502</f>
        <v>45.9</v>
      </c>
      <c r="G501" s="41">
        <f>G502</f>
        <v>45.9</v>
      </c>
      <c r="H501" s="93">
        <f t="shared" si="114"/>
        <v>100</v>
      </c>
      <c r="J501" s="221"/>
    </row>
    <row r="502" spans="1:10" s="20" customFormat="1" ht="39.6" x14ac:dyDescent="0.25">
      <c r="A502" s="16" t="s">
        <v>103</v>
      </c>
      <c r="B502" s="16" t="s">
        <v>98</v>
      </c>
      <c r="C502" s="80" t="s">
        <v>432</v>
      </c>
      <c r="D502" s="82" t="s">
        <v>205</v>
      </c>
      <c r="E502" s="97" t="s">
        <v>206</v>
      </c>
      <c r="F502" s="41">
        <f>90-44.1</f>
        <v>45.9</v>
      </c>
      <c r="G502" s="41">
        <v>45.9</v>
      </c>
      <c r="H502" s="93">
        <f t="shared" si="114"/>
        <v>100</v>
      </c>
    </row>
    <row r="503" spans="1:10" s="36" customFormat="1" ht="39.6" x14ac:dyDescent="0.25">
      <c r="A503" s="16" t="s">
        <v>103</v>
      </c>
      <c r="B503" s="16" t="s">
        <v>98</v>
      </c>
      <c r="C503" s="80">
        <v>140311080</v>
      </c>
      <c r="D503" s="82"/>
      <c r="E503" s="97" t="s">
        <v>434</v>
      </c>
      <c r="F503" s="41">
        <f>F504</f>
        <v>202.1</v>
      </c>
      <c r="G503" s="41">
        <f>G504</f>
        <v>202.1</v>
      </c>
      <c r="H503" s="93">
        <f t="shared" si="114"/>
        <v>100</v>
      </c>
    </row>
    <row r="504" spans="1:10" ht="39.6" x14ac:dyDescent="0.25">
      <c r="A504" s="16" t="s">
        <v>103</v>
      </c>
      <c r="B504" s="16" t="s">
        <v>98</v>
      </c>
      <c r="C504" s="80">
        <v>140311080</v>
      </c>
      <c r="D504" s="82" t="s">
        <v>205</v>
      </c>
      <c r="E504" s="97" t="s">
        <v>206</v>
      </c>
      <c r="F504" s="39">
        <v>202.1</v>
      </c>
      <c r="G504" s="39">
        <v>202.1</v>
      </c>
      <c r="H504" s="93">
        <f t="shared" si="114"/>
        <v>100</v>
      </c>
    </row>
    <row r="505" spans="1:10" ht="66" x14ac:dyDescent="0.25">
      <c r="A505" s="16" t="s">
        <v>103</v>
      </c>
      <c r="B505" s="16" t="s">
        <v>98</v>
      </c>
      <c r="C505" s="21" t="s">
        <v>679</v>
      </c>
      <c r="D505" s="82"/>
      <c r="E505" s="128" t="s">
        <v>680</v>
      </c>
      <c r="F505" s="39">
        <f>F506</f>
        <v>126.8</v>
      </c>
      <c r="G505" s="39">
        <f>G506</f>
        <v>126.8</v>
      </c>
      <c r="H505" s="93">
        <f t="shared" si="114"/>
        <v>100</v>
      </c>
    </row>
    <row r="506" spans="1:10" ht="39.6" x14ac:dyDescent="0.25">
      <c r="A506" s="16" t="s">
        <v>103</v>
      </c>
      <c r="B506" s="16" t="s">
        <v>98</v>
      </c>
      <c r="C506" s="21" t="s">
        <v>679</v>
      </c>
      <c r="D506" s="82" t="s">
        <v>205</v>
      </c>
      <c r="E506" s="97" t="s">
        <v>206</v>
      </c>
      <c r="F506" s="39">
        <f>120+6.8</f>
        <v>126.8</v>
      </c>
      <c r="G506" s="39">
        <v>126.8</v>
      </c>
      <c r="H506" s="93">
        <f t="shared" si="114"/>
        <v>100</v>
      </c>
    </row>
    <row r="507" spans="1:10" x14ac:dyDescent="0.25">
      <c r="A507" s="16" t="s">
        <v>103</v>
      </c>
      <c r="B507" s="16" t="s">
        <v>98</v>
      </c>
      <c r="C507" s="52" t="s">
        <v>77</v>
      </c>
      <c r="D507" s="16"/>
      <c r="E507" s="66" t="s">
        <v>47</v>
      </c>
      <c r="F507" s="92">
        <f>F508+F511</f>
        <v>8681.7000000000007</v>
      </c>
      <c r="G507" s="92">
        <f t="shared" ref="G507" si="124">G508+G511</f>
        <v>8677.4</v>
      </c>
      <c r="H507" s="93">
        <f t="shared" si="114"/>
        <v>100</v>
      </c>
    </row>
    <row r="508" spans="1:10" ht="66" x14ac:dyDescent="0.25">
      <c r="A508" s="16" t="s">
        <v>103</v>
      </c>
      <c r="B508" s="16" t="s">
        <v>98</v>
      </c>
      <c r="C508" s="80">
        <v>190022200</v>
      </c>
      <c r="D508" s="82"/>
      <c r="E508" s="97" t="s">
        <v>435</v>
      </c>
      <c r="F508" s="41">
        <f>SUM(F509:F510)</f>
        <v>8532.1</v>
      </c>
      <c r="G508" s="41">
        <f>SUM(G509:G510)</f>
        <v>8527.7999999999993</v>
      </c>
      <c r="H508" s="93">
        <f t="shared" si="114"/>
        <v>99.9</v>
      </c>
    </row>
    <row r="509" spans="1:10" ht="39.6" x14ac:dyDescent="0.25">
      <c r="A509" s="16" t="s">
        <v>103</v>
      </c>
      <c r="B509" s="16" t="s">
        <v>98</v>
      </c>
      <c r="C509" s="80">
        <v>190022200</v>
      </c>
      <c r="D509" s="16" t="s">
        <v>63</v>
      </c>
      <c r="E509" s="55" t="s">
        <v>64</v>
      </c>
      <c r="F509" s="41">
        <f>4887.2+592.5+1638.9+711.9+248.5</f>
        <v>8079</v>
      </c>
      <c r="G509" s="41">
        <v>8079</v>
      </c>
      <c r="H509" s="93">
        <f t="shared" si="114"/>
        <v>100</v>
      </c>
    </row>
    <row r="510" spans="1:10" ht="39.6" x14ac:dyDescent="0.25">
      <c r="A510" s="16" t="s">
        <v>103</v>
      </c>
      <c r="B510" s="16" t="s">
        <v>98</v>
      </c>
      <c r="C510" s="80">
        <v>190022200</v>
      </c>
      <c r="D510" s="82" t="s">
        <v>205</v>
      </c>
      <c r="E510" s="97" t="s">
        <v>206</v>
      </c>
      <c r="F510" s="41">
        <f>453.1</f>
        <v>453.1</v>
      </c>
      <c r="G510" s="41">
        <v>448.8</v>
      </c>
      <c r="H510" s="93">
        <f t="shared" si="114"/>
        <v>99.1</v>
      </c>
    </row>
    <row r="511" spans="1:10" s="171" customFormat="1" ht="79.2" x14ac:dyDescent="0.25">
      <c r="A511" s="16" t="s">
        <v>103</v>
      </c>
      <c r="B511" s="16" t="s">
        <v>98</v>
      </c>
      <c r="C511" s="80">
        <v>190055492</v>
      </c>
      <c r="D511" s="82"/>
      <c r="E511" s="169" t="s">
        <v>714</v>
      </c>
      <c r="F511" s="41">
        <f>F512</f>
        <v>149.6</v>
      </c>
      <c r="G511" s="41">
        <f t="shared" ref="G511" si="125">G512</f>
        <v>149.6</v>
      </c>
      <c r="H511" s="93">
        <f t="shared" si="114"/>
        <v>100</v>
      </c>
    </row>
    <row r="512" spans="1:10" s="171" customFormat="1" ht="39.6" x14ac:dyDescent="0.25">
      <c r="A512" s="16" t="s">
        <v>103</v>
      </c>
      <c r="B512" s="16" t="s">
        <v>98</v>
      </c>
      <c r="C512" s="80">
        <v>190055492</v>
      </c>
      <c r="D512" s="16" t="s">
        <v>63</v>
      </c>
      <c r="E512" s="169" t="s">
        <v>78</v>
      </c>
      <c r="F512" s="41">
        <v>149.6</v>
      </c>
      <c r="G512" s="41">
        <v>149.6</v>
      </c>
      <c r="H512" s="93">
        <f t="shared" si="114"/>
        <v>100</v>
      </c>
    </row>
    <row r="513" spans="1:12" ht="15.6" x14ac:dyDescent="0.3">
      <c r="A513" s="4" t="s">
        <v>100</v>
      </c>
      <c r="B513" s="3"/>
      <c r="C513" s="3"/>
      <c r="D513" s="3"/>
      <c r="E513" s="49" t="s">
        <v>20</v>
      </c>
      <c r="F513" s="91">
        <f>F514+F540</f>
        <v>84839.4</v>
      </c>
      <c r="G513" s="91">
        <f>G514+G540</f>
        <v>84680.4</v>
      </c>
      <c r="H513" s="186">
        <f t="shared" si="114"/>
        <v>99.8</v>
      </c>
    </row>
    <row r="514" spans="1:12" s="37" customFormat="1" ht="14.4" x14ac:dyDescent="0.3">
      <c r="A514" s="35" t="s">
        <v>100</v>
      </c>
      <c r="B514" s="35" t="s">
        <v>87</v>
      </c>
      <c r="C514" s="35"/>
      <c r="D514" s="35"/>
      <c r="E514" s="45" t="s">
        <v>105</v>
      </c>
      <c r="F514" s="42">
        <f>F515+F537</f>
        <v>80536.2</v>
      </c>
      <c r="G514" s="42">
        <f>G515+G537</f>
        <v>80384.299999999988</v>
      </c>
      <c r="H514" s="42">
        <f t="shared" ref="H514:H545" si="126">ROUND((G514/F514*100),1)</f>
        <v>99.8</v>
      </c>
    </row>
    <row r="515" spans="1:12" s="37" customFormat="1" ht="93" x14ac:dyDescent="0.3">
      <c r="A515" s="16" t="s">
        <v>100</v>
      </c>
      <c r="B515" s="16" t="s">
        <v>87</v>
      </c>
      <c r="C515" s="73" t="s">
        <v>60</v>
      </c>
      <c r="D515" s="35"/>
      <c r="E515" s="53" t="s">
        <v>560</v>
      </c>
      <c r="F515" s="65">
        <f t="shared" ref="F515:G515" si="127">F516</f>
        <v>80486.2</v>
      </c>
      <c r="G515" s="65">
        <f t="shared" si="127"/>
        <v>80334.299999999988</v>
      </c>
      <c r="H515" s="62">
        <f t="shared" si="126"/>
        <v>99.8</v>
      </c>
    </row>
    <row r="516" spans="1:12" s="37" customFormat="1" ht="27" x14ac:dyDescent="0.3">
      <c r="A516" s="16" t="s">
        <v>100</v>
      </c>
      <c r="B516" s="16" t="s">
        <v>87</v>
      </c>
      <c r="C516" s="21" t="s">
        <v>61</v>
      </c>
      <c r="D516" s="35"/>
      <c r="E516" s="48" t="s">
        <v>166</v>
      </c>
      <c r="F516" s="58">
        <f>F517+F521+F523+F526+F531+F533+F535+F529</f>
        <v>80486.2</v>
      </c>
      <c r="G516" s="58">
        <f>G517+G521+G523+G526+G531+G533+G535+G529</f>
        <v>80334.299999999988</v>
      </c>
      <c r="H516" s="58">
        <f t="shared" si="126"/>
        <v>99.8</v>
      </c>
    </row>
    <row r="517" spans="1:12" s="37" customFormat="1" ht="27" customHeight="1" x14ac:dyDescent="0.3">
      <c r="A517" s="16" t="s">
        <v>100</v>
      </c>
      <c r="B517" s="16" t="s">
        <v>87</v>
      </c>
      <c r="C517" s="74">
        <v>210122900</v>
      </c>
      <c r="D517" s="16"/>
      <c r="E517" s="98" t="s">
        <v>165</v>
      </c>
      <c r="F517" s="39">
        <f>SUM(F518:F520)</f>
        <v>14462.900000000001</v>
      </c>
      <c r="G517" s="39">
        <f t="shared" ref="G517" si="128">SUM(G518:G520)</f>
        <v>14311</v>
      </c>
      <c r="H517" s="93">
        <f t="shared" si="126"/>
        <v>98.9</v>
      </c>
    </row>
    <row r="518" spans="1:12" s="37" customFormat="1" ht="26.4" x14ac:dyDescent="0.3">
      <c r="A518" s="16" t="s">
        <v>100</v>
      </c>
      <c r="B518" s="16" t="s">
        <v>87</v>
      </c>
      <c r="C518" s="74">
        <v>210122900</v>
      </c>
      <c r="D518" s="82" t="s">
        <v>65</v>
      </c>
      <c r="E518" s="55" t="s">
        <v>128</v>
      </c>
      <c r="F518" s="39">
        <f>5408.8-17.4-1.5-21.4</f>
        <v>5368.5000000000009</v>
      </c>
      <c r="G518" s="39">
        <v>5355.6</v>
      </c>
      <c r="H518" s="93">
        <f t="shared" si="126"/>
        <v>99.8</v>
      </c>
      <c r="J518" s="148"/>
    </row>
    <row r="519" spans="1:12" s="37" customFormat="1" ht="39.6" x14ac:dyDescent="0.3">
      <c r="A519" s="16" t="s">
        <v>100</v>
      </c>
      <c r="B519" s="16" t="s">
        <v>87</v>
      </c>
      <c r="C519" s="74">
        <v>210122900</v>
      </c>
      <c r="D519" s="82" t="s">
        <v>205</v>
      </c>
      <c r="E519" s="97" t="s">
        <v>206</v>
      </c>
      <c r="F519" s="39">
        <f>5956.5+2577.4+502.4-13.4+70</f>
        <v>9092.9</v>
      </c>
      <c r="G519" s="39">
        <v>8953.9</v>
      </c>
      <c r="H519" s="93">
        <f t="shared" si="126"/>
        <v>98.5</v>
      </c>
    </row>
    <row r="520" spans="1:12" s="37" customFormat="1" ht="26.4" x14ac:dyDescent="0.3">
      <c r="A520" s="16" t="s">
        <v>100</v>
      </c>
      <c r="B520" s="16" t="s">
        <v>87</v>
      </c>
      <c r="C520" s="74">
        <v>210122900</v>
      </c>
      <c r="D520" s="82" t="s">
        <v>129</v>
      </c>
      <c r="E520" s="97" t="s">
        <v>130</v>
      </c>
      <c r="F520" s="39">
        <v>1.5</v>
      </c>
      <c r="G520" s="39">
        <v>1.5</v>
      </c>
      <c r="H520" s="93">
        <f t="shared" si="126"/>
        <v>100</v>
      </c>
    </row>
    <row r="521" spans="1:12" s="37" customFormat="1" ht="53.4" x14ac:dyDescent="0.3">
      <c r="A521" s="16" t="s">
        <v>100</v>
      </c>
      <c r="B521" s="16" t="s">
        <v>87</v>
      </c>
      <c r="C521" s="74">
        <v>210121100</v>
      </c>
      <c r="D521" s="16"/>
      <c r="E521" s="98" t="s">
        <v>167</v>
      </c>
      <c r="F521" s="39">
        <f>F522</f>
        <v>33743.699999999997</v>
      </c>
      <c r="G521" s="39">
        <f>G522</f>
        <v>33743.699999999997</v>
      </c>
      <c r="H521" s="93">
        <f t="shared" si="126"/>
        <v>100</v>
      </c>
      <c r="J521" s="148"/>
      <c r="K521" s="148"/>
      <c r="L521" s="148"/>
    </row>
    <row r="522" spans="1:12" s="37" customFormat="1" ht="14.4" x14ac:dyDescent="0.3">
      <c r="A522" s="16" t="s">
        <v>100</v>
      </c>
      <c r="B522" s="16" t="s">
        <v>87</v>
      </c>
      <c r="C522" s="74">
        <v>210121100</v>
      </c>
      <c r="D522" s="21" t="s">
        <v>219</v>
      </c>
      <c r="E522" s="97" t="s">
        <v>218</v>
      </c>
      <c r="F522" s="39">
        <f>33945.3-18.5-109.8-25-48.3</f>
        <v>33743.699999999997</v>
      </c>
      <c r="G522" s="1">
        <v>33743.699999999997</v>
      </c>
      <c r="H522" s="93">
        <f t="shared" si="126"/>
        <v>100</v>
      </c>
    </row>
    <row r="523" spans="1:12" s="37" customFormat="1" ht="52.8" x14ac:dyDescent="0.3">
      <c r="A523" s="16" t="s">
        <v>100</v>
      </c>
      <c r="B523" s="16" t="s">
        <v>87</v>
      </c>
      <c r="C523" s="74" t="s">
        <v>436</v>
      </c>
      <c r="D523" s="82"/>
      <c r="E523" s="97" t="s">
        <v>310</v>
      </c>
      <c r="F523" s="39">
        <f>SUM(F524:F525)</f>
        <v>305.60000000000002</v>
      </c>
      <c r="G523" s="39">
        <f>SUM(G524:G525)</f>
        <v>305.60000000000002</v>
      </c>
      <c r="H523" s="93">
        <f t="shared" si="126"/>
        <v>100</v>
      </c>
      <c r="J523" s="148"/>
    </row>
    <row r="524" spans="1:12" s="37" customFormat="1" ht="26.4" x14ac:dyDescent="0.3">
      <c r="A524" s="16" t="s">
        <v>100</v>
      </c>
      <c r="B524" s="16" t="s">
        <v>87</v>
      </c>
      <c r="C524" s="74" t="s">
        <v>436</v>
      </c>
      <c r="D524" s="82" t="s">
        <v>65</v>
      </c>
      <c r="E524" s="55" t="s">
        <v>128</v>
      </c>
      <c r="F524" s="39">
        <f>50+17.4+21.4</f>
        <v>88.800000000000011</v>
      </c>
      <c r="G524" s="39">
        <v>88.8</v>
      </c>
      <c r="H524" s="93">
        <f t="shared" si="126"/>
        <v>100</v>
      </c>
    </row>
    <row r="525" spans="1:12" s="37" customFormat="1" ht="14.4" x14ac:dyDescent="0.3">
      <c r="A525" s="16" t="s">
        <v>100</v>
      </c>
      <c r="B525" s="16" t="s">
        <v>87</v>
      </c>
      <c r="C525" s="74" t="s">
        <v>436</v>
      </c>
      <c r="D525" s="21" t="s">
        <v>219</v>
      </c>
      <c r="E525" s="97" t="s">
        <v>218</v>
      </c>
      <c r="F525" s="39">
        <f>150+18.5+48.3</f>
        <v>216.8</v>
      </c>
      <c r="G525" s="39">
        <v>216.8</v>
      </c>
      <c r="H525" s="93">
        <f t="shared" si="126"/>
        <v>100</v>
      </c>
    </row>
    <row r="526" spans="1:12" s="37" customFormat="1" ht="52.8" x14ac:dyDescent="0.3">
      <c r="A526" s="16" t="s">
        <v>100</v>
      </c>
      <c r="B526" s="16" t="s">
        <v>87</v>
      </c>
      <c r="C526" s="74">
        <v>210110680</v>
      </c>
      <c r="D526" s="82"/>
      <c r="E526" s="97" t="s">
        <v>349</v>
      </c>
      <c r="F526" s="39">
        <f>SUM(F527:F528)</f>
        <v>30251.600000000002</v>
      </c>
      <c r="G526" s="39">
        <f t="shared" ref="G526" si="129">SUM(G527:G528)</f>
        <v>30251.599999999999</v>
      </c>
      <c r="H526" s="93">
        <f t="shared" si="126"/>
        <v>100</v>
      </c>
      <c r="J526" s="148"/>
    </row>
    <row r="527" spans="1:12" s="37" customFormat="1" ht="26.4" x14ac:dyDescent="0.3">
      <c r="A527" s="16" t="s">
        <v>100</v>
      </c>
      <c r="B527" s="16" t="s">
        <v>87</v>
      </c>
      <c r="C527" s="74">
        <v>210110680</v>
      </c>
      <c r="D527" s="82" t="s">
        <v>65</v>
      </c>
      <c r="E527" s="55" t="s">
        <v>128</v>
      </c>
      <c r="F527" s="39">
        <f>6672.7+2118.3</f>
        <v>8791</v>
      </c>
      <c r="G527" s="39">
        <v>8791</v>
      </c>
      <c r="H527" s="93">
        <f t="shared" si="126"/>
        <v>100</v>
      </c>
    </row>
    <row r="528" spans="1:12" s="37" customFormat="1" ht="14.4" x14ac:dyDescent="0.3">
      <c r="A528" s="16" t="s">
        <v>100</v>
      </c>
      <c r="B528" s="16" t="s">
        <v>87</v>
      </c>
      <c r="C528" s="74">
        <v>210110680</v>
      </c>
      <c r="D528" s="21" t="s">
        <v>219</v>
      </c>
      <c r="E528" s="97" t="s">
        <v>218</v>
      </c>
      <c r="F528" s="39">
        <f>16681.9+4778.7</f>
        <v>21460.600000000002</v>
      </c>
      <c r="G528" s="39">
        <v>21460.6</v>
      </c>
      <c r="H528" s="93">
        <f t="shared" si="126"/>
        <v>100</v>
      </c>
    </row>
    <row r="529" spans="1:8" s="37" customFormat="1" ht="52.8" x14ac:dyDescent="0.3">
      <c r="A529" s="16" t="s">
        <v>100</v>
      </c>
      <c r="B529" s="16" t="s">
        <v>87</v>
      </c>
      <c r="C529" s="74" t="s">
        <v>675</v>
      </c>
      <c r="D529" s="21"/>
      <c r="E529" s="54" t="s">
        <v>676</v>
      </c>
      <c r="F529" s="39">
        <f>F530</f>
        <v>133.4</v>
      </c>
      <c r="G529" s="39">
        <f t="shared" ref="G529" si="130">G530</f>
        <v>133.4</v>
      </c>
      <c r="H529" s="93">
        <f t="shared" si="126"/>
        <v>100</v>
      </c>
    </row>
    <row r="530" spans="1:8" s="37" customFormat="1" ht="39.6" x14ac:dyDescent="0.3">
      <c r="A530" s="16" t="s">
        <v>100</v>
      </c>
      <c r="B530" s="16" t="s">
        <v>87</v>
      </c>
      <c r="C530" s="74" t="s">
        <v>675</v>
      </c>
      <c r="D530" s="82" t="s">
        <v>205</v>
      </c>
      <c r="E530" s="97" t="s">
        <v>206</v>
      </c>
      <c r="F530" s="39">
        <f>120+13.4</f>
        <v>133.4</v>
      </c>
      <c r="G530" s="39">
        <v>133.4</v>
      </c>
      <c r="H530" s="93">
        <f t="shared" si="126"/>
        <v>100</v>
      </c>
    </row>
    <row r="531" spans="1:8" s="37" customFormat="1" ht="40.200000000000003" x14ac:dyDescent="0.3">
      <c r="A531" s="16" t="s">
        <v>100</v>
      </c>
      <c r="B531" s="16" t="s">
        <v>87</v>
      </c>
      <c r="C531" s="156" t="s">
        <v>683</v>
      </c>
      <c r="D531" s="82"/>
      <c r="E531" s="122" t="s">
        <v>684</v>
      </c>
      <c r="F531" s="39">
        <f>F532</f>
        <v>20</v>
      </c>
      <c r="G531" s="39">
        <f t="shared" ref="G531" si="131">G532</f>
        <v>20</v>
      </c>
      <c r="H531" s="93">
        <f t="shared" si="126"/>
        <v>100</v>
      </c>
    </row>
    <row r="532" spans="1:8" s="37" customFormat="1" ht="39.6" x14ac:dyDescent="0.3">
      <c r="A532" s="16" t="s">
        <v>100</v>
      </c>
      <c r="B532" s="16" t="s">
        <v>87</v>
      </c>
      <c r="C532" s="156" t="s">
        <v>683</v>
      </c>
      <c r="D532" s="82" t="s">
        <v>205</v>
      </c>
      <c r="E532" s="97" t="s">
        <v>206</v>
      </c>
      <c r="F532" s="39">
        <v>20</v>
      </c>
      <c r="G532" s="39">
        <v>20</v>
      </c>
      <c r="H532" s="93">
        <f t="shared" si="126"/>
        <v>100</v>
      </c>
    </row>
    <row r="533" spans="1:8" s="37" customFormat="1" ht="53.4" x14ac:dyDescent="0.3">
      <c r="A533" s="16" t="s">
        <v>100</v>
      </c>
      <c r="B533" s="16" t="s">
        <v>87</v>
      </c>
      <c r="C533" s="123" t="s">
        <v>439</v>
      </c>
      <c r="D533" s="82"/>
      <c r="E533" s="128" t="s">
        <v>362</v>
      </c>
      <c r="F533" s="39">
        <f>F534</f>
        <v>624</v>
      </c>
      <c r="G533" s="39">
        <f>G534</f>
        <v>624</v>
      </c>
      <c r="H533" s="93">
        <f t="shared" si="126"/>
        <v>100</v>
      </c>
    </row>
    <row r="534" spans="1:8" s="37" customFormat="1" ht="14.4" x14ac:dyDescent="0.3">
      <c r="A534" s="16" t="s">
        <v>100</v>
      </c>
      <c r="B534" s="16" t="s">
        <v>87</v>
      </c>
      <c r="C534" s="123" t="s">
        <v>439</v>
      </c>
      <c r="D534" s="21" t="s">
        <v>219</v>
      </c>
      <c r="E534" s="97" t="s">
        <v>218</v>
      </c>
      <c r="F534" s="39">
        <f>13+611</f>
        <v>624</v>
      </c>
      <c r="G534" s="39">
        <v>624</v>
      </c>
      <c r="H534" s="93">
        <f t="shared" si="126"/>
        <v>100</v>
      </c>
    </row>
    <row r="535" spans="1:8" s="37" customFormat="1" ht="52.8" x14ac:dyDescent="0.3">
      <c r="A535" s="16" t="s">
        <v>100</v>
      </c>
      <c r="B535" s="16" t="s">
        <v>87</v>
      </c>
      <c r="C535" s="131" t="s">
        <v>441</v>
      </c>
      <c r="D535" s="21"/>
      <c r="E535" s="97" t="s">
        <v>440</v>
      </c>
      <c r="F535" s="39">
        <f>F536</f>
        <v>945</v>
      </c>
      <c r="G535" s="39">
        <f>G536</f>
        <v>945</v>
      </c>
      <c r="H535" s="93">
        <f t="shared" si="126"/>
        <v>100</v>
      </c>
    </row>
    <row r="536" spans="1:8" s="37" customFormat="1" ht="14.4" x14ac:dyDescent="0.3">
      <c r="A536" s="16" t="s">
        <v>100</v>
      </c>
      <c r="B536" s="16" t="s">
        <v>87</v>
      </c>
      <c r="C536" s="131" t="s">
        <v>441</v>
      </c>
      <c r="D536" s="21" t="s">
        <v>219</v>
      </c>
      <c r="E536" s="97" t="s">
        <v>218</v>
      </c>
      <c r="F536" s="39">
        <v>945</v>
      </c>
      <c r="G536" s="39">
        <v>945</v>
      </c>
      <c r="H536" s="93">
        <f t="shared" si="126"/>
        <v>100</v>
      </c>
    </row>
    <row r="537" spans="1:8" s="37" customFormat="1" ht="40.200000000000003" x14ac:dyDescent="0.3">
      <c r="A537" s="16" t="s">
        <v>100</v>
      </c>
      <c r="B537" s="16" t="s">
        <v>87</v>
      </c>
      <c r="C537" s="82" t="s">
        <v>25</v>
      </c>
      <c r="D537" s="82"/>
      <c r="E537" s="98" t="s">
        <v>39</v>
      </c>
      <c r="F537" s="41">
        <f>F538</f>
        <v>50</v>
      </c>
      <c r="G537" s="41">
        <f t="shared" ref="G537" si="132">G538</f>
        <v>50</v>
      </c>
      <c r="H537" s="93">
        <f t="shared" si="126"/>
        <v>100</v>
      </c>
    </row>
    <row r="538" spans="1:8" s="37" customFormat="1" ht="51.75" customHeight="1" x14ac:dyDescent="0.3">
      <c r="A538" s="16" t="s">
        <v>100</v>
      </c>
      <c r="B538" s="16" t="s">
        <v>87</v>
      </c>
      <c r="C538" s="82" t="s">
        <v>556</v>
      </c>
      <c r="D538" s="16"/>
      <c r="E538" s="54" t="s">
        <v>558</v>
      </c>
      <c r="F538" s="41">
        <f>SUM(F539:F539)</f>
        <v>50</v>
      </c>
      <c r="G538" s="41">
        <f>SUM(G539:G539)</f>
        <v>50</v>
      </c>
      <c r="H538" s="93">
        <f t="shared" si="126"/>
        <v>100</v>
      </c>
    </row>
    <row r="539" spans="1:8" s="37" customFormat="1" ht="14.4" x14ac:dyDescent="0.3">
      <c r="A539" s="16" t="s">
        <v>100</v>
      </c>
      <c r="B539" s="16" t="s">
        <v>87</v>
      </c>
      <c r="C539" s="82" t="s">
        <v>556</v>
      </c>
      <c r="D539" s="21" t="s">
        <v>219</v>
      </c>
      <c r="E539" s="97" t="s">
        <v>218</v>
      </c>
      <c r="F539" s="39">
        <v>50</v>
      </c>
      <c r="G539" s="39">
        <v>50</v>
      </c>
      <c r="H539" s="93">
        <f t="shared" si="126"/>
        <v>100</v>
      </c>
    </row>
    <row r="540" spans="1:8" ht="27" x14ac:dyDescent="0.3">
      <c r="A540" s="35" t="s">
        <v>100</v>
      </c>
      <c r="B540" s="35" t="s">
        <v>93</v>
      </c>
      <c r="C540" s="35"/>
      <c r="D540" s="35"/>
      <c r="E540" s="46" t="s">
        <v>7</v>
      </c>
      <c r="F540" s="42">
        <f>F541+F553</f>
        <v>4303.2</v>
      </c>
      <c r="G540" s="42">
        <f>G541+G553</f>
        <v>4296.1000000000004</v>
      </c>
      <c r="H540" s="42">
        <f t="shared" si="126"/>
        <v>99.8</v>
      </c>
    </row>
    <row r="541" spans="1:8" ht="93" x14ac:dyDescent="0.3">
      <c r="A541" s="5" t="s">
        <v>100</v>
      </c>
      <c r="B541" s="5" t="s">
        <v>93</v>
      </c>
      <c r="C541" s="73" t="s">
        <v>60</v>
      </c>
      <c r="D541" s="35"/>
      <c r="E541" s="53" t="s">
        <v>560</v>
      </c>
      <c r="F541" s="65">
        <f>F542+F547</f>
        <v>4063.2</v>
      </c>
      <c r="G541" s="65">
        <f>G542+G547</f>
        <v>4056.1000000000004</v>
      </c>
      <c r="H541" s="62">
        <f t="shared" si="126"/>
        <v>99.8</v>
      </c>
    </row>
    <row r="542" spans="1:8" ht="27" x14ac:dyDescent="0.3">
      <c r="A542" s="16" t="s">
        <v>100</v>
      </c>
      <c r="B542" s="16" t="s">
        <v>93</v>
      </c>
      <c r="C542" s="21" t="s">
        <v>61</v>
      </c>
      <c r="D542" s="35"/>
      <c r="E542" s="48" t="s">
        <v>166</v>
      </c>
      <c r="F542" s="42">
        <f>F543+F545</f>
        <v>599.79999999999995</v>
      </c>
      <c r="G542" s="42">
        <f>G543+G545</f>
        <v>599.79999999999995</v>
      </c>
      <c r="H542" s="58">
        <f t="shared" si="126"/>
        <v>100</v>
      </c>
    </row>
    <row r="543" spans="1:8" ht="52.8" x14ac:dyDescent="0.25">
      <c r="A543" s="16" t="s">
        <v>100</v>
      </c>
      <c r="B543" s="16" t="s">
        <v>93</v>
      </c>
      <c r="C543" s="21" t="s">
        <v>443</v>
      </c>
      <c r="D543" s="16"/>
      <c r="E543" s="97" t="s">
        <v>169</v>
      </c>
      <c r="F543" s="41">
        <f t="shared" ref="F543:G543" si="133">F544</f>
        <v>499.8</v>
      </c>
      <c r="G543" s="41">
        <f t="shared" si="133"/>
        <v>499.8</v>
      </c>
      <c r="H543" s="93">
        <f t="shared" si="126"/>
        <v>100</v>
      </c>
    </row>
    <row r="544" spans="1:8" ht="39.6" x14ac:dyDescent="0.25">
      <c r="A544" s="16" t="s">
        <v>100</v>
      </c>
      <c r="B544" s="16" t="s">
        <v>93</v>
      </c>
      <c r="C544" s="21" t="s">
        <v>443</v>
      </c>
      <c r="D544" s="82" t="s">
        <v>205</v>
      </c>
      <c r="E544" s="97" t="s">
        <v>206</v>
      </c>
      <c r="F544" s="41">
        <f>374+125.8</f>
        <v>499.8</v>
      </c>
      <c r="G544" s="41">
        <v>499.8</v>
      </c>
      <c r="H544" s="93">
        <f t="shared" si="126"/>
        <v>100</v>
      </c>
    </row>
    <row r="545" spans="1:8" ht="39.6" x14ac:dyDescent="0.25">
      <c r="A545" s="16" t="s">
        <v>100</v>
      </c>
      <c r="B545" s="16" t="s">
        <v>93</v>
      </c>
      <c r="C545" s="21" t="s">
        <v>685</v>
      </c>
      <c r="D545" s="82"/>
      <c r="E545" s="107" t="s">
        <v>686</v>
      </c>
      <c r="F545" s="41">
        <f>F546</f>
        <v>100</v>
      </c>
      <c r="G545" s="41">
        <f t="shared" ref="G545" si="134">G546</f>
        <v>100</v>
      </c>
      <c r="H545" s="93">
        <f t="shared" si="126"/>
        <v>100</v>
      </c>
    </row>
    <row r="546" spans="1:8" ht="39.6" x14ac:dyDescent="0.25">
      <c r="A546" s="16" t="s">
        <v>100</v>
      </c>
      <c r="B546" s="16" t="s">
        <v>93</v>
      </c>
      <c r="C546" s="158" t="s">
        <v>685</v>
      </c>
      <c r="D546" s="82" t="s">
        <v>205</v>
      </c>
      <c r="E546" s="97" t="s">
        <v>206</v>
      </c>
      <c r="F546" s="41">
        <v>100</v>
      </c>
      <c r="G546" s="41">
        <v>100</v>
      </c>
      <c r="H546" s="93">
        <f t="shared" ref="H546:H575" si="135">ROUND((G546/F546*100),1)</f>
        <v>100</v>
      </c>
    </row>
    <row r="547" spans="1:8" x14ac:dyDescent="0.25">
      <c r="A547" s="16" t="s">
        <v>100</v>
      </c>
      <c r="B547" s="16" t="s">
        <v>93</v>
      </c>
      <c r="C547" s="52" t="s">
        <v>32</v>
      </c>
      <c r="D547" s="21"/>
      <c r="E547" s="66" t="s">
        <v>47</v>
      </c>
      <c r="F547" s="58">
        <f>F548+F551</f>
        <v>3463.4</v>
      </c>
      <c r="G547" s="58">
        <f>G548+G551</f>
        <v>3456.3</v>
      </c>
      <c r="H547" s="58">
        <f t="shared" si="135"/>
        <v>99.8</v>
      </c>
    </row>
    <row r="548" spans="1:8" ht="65.25" customHeight="1" x14ac:dyDescent="0.25">
      <c r="A548" s="16" t="s">
        <v>100</v>
      </c>
      <c r="B548" s="16" t="s">
        <v>93</v>
      </c>
      <c r="C548" s="80">
        <v>290022200</v>
      </c>
      <c r="D548" s="21"/>
      <c r="E548" s="97" t="s">
        <v>257</v>
      </c>
      <c r="F548" s="93">
        <f>SUM(F549:F550)</f>
        <v>3403.5</v>
      </c>
      <c r="G548" s="93">
        <f>SUM(G549:G550)</f>
        <v>3396.4</v>
      </c>
      <c r="H548" s="93">
        <f t="shared" si="135"/>
        <v>99.8</v>
      </c>
    </row>
    <row r="549" spans="1:8" ht="39.6" x14ac:dyDescent="0.25">
      <c r="A549" s="16" t="s">
        <v>100</v>
      </c>
      <c r="B549" s="16" t="s">
        <v>93</v>
      </c>
      <c r="C549" s="80">
        <v>290022200</v>
      </c>
      <c r="D549" s="16" t="s">
        <v>63</v>
      </c>
      <c r="E549" s="55" t="s">
        <v>64</v>
      </c>
      <c r="F549" s="93">
        <f>3035.4+300.6</f>
        <v>3336</v>
      </c>
      <c r="G549" s="208">
        <v>3336</v>
      </c>
      <c r="H549" s="93">
        <f t="shared" si="135"/>
        <v>100</v>
      </c>
    </row>
    <row r="550" spans="1:8" ht="39.6" x14ac:dyDescent="0.25">
      <c r="A550" s="16" t="s">
        <v>100</v>
      </c>
      <c r="B550" s="16" t="s">
        <v>93</v>
      </c>
      <c r="C550" s="80">
        <v>290022200</v>
      </c>
      <c r="D550" s="82" t="s">
        <v>205</v>
      </c>
      <c r="E550" s="97" t="s">
        <v>206</v>
      </c>
      <c r="F550" s="41">
        <v>67.5</v>
      </c>
      <c r="G550" s="209">
        <v>60.4</v>
      </c>
      <c r="H550" s="93">
        <f t="shared" si="135"/>
        <v>89.5</v>
      </c>
    </row>
    <row r="551" spans="1:8" s="171" customFormat="1" ht="79.2" x14ac:dyDescent="0.25">
      <c r="A551" s="16" t="s">
        <v>100</v>
      </c>
      <c r="B551" s="16" t="s">
        <v>93</v>
      </c>
      <c r="C551" s="80">
        <v>290055492</v>
      </c>
      <c r="D551" s="82"/>
      <c r="E551" s="169" t="s">
        <v>714</v>
      </c>
      <c r="F551" s="41">
        <f>F552</f>
        <v>59.9</v>
      </c>
      <c r="G551" s="41">
        <f t="shared" ref="G551" si="136">G552</f>
        <v>59.9</v>
      </c>
      <c r="H551" s="93">
        <f t="shared" si="135"/>
        <v>100</v>
      </c>
    </row>
    <row r="552" spans="1:8" s="171" customFormat="1" ht="39.6" x14ac:dyDescent="0.25">
      <c r="A552" s="16" t="s">
        <v>100</v>
      </c>
      <c r="B552" s="16" t="s">
        <v>93</v>
      </c>
      <c r="C552" s="80">
        <v>290055492</v>
      </c>
      <c r="D552" s="16" t="s">
        <v>63</v>
      </c>
      <c r="E552" s="169" t="s">
        <v>78</v>
      </c>
      <c r="F552" s="41">
        <v>59.9</v>
      </c>
      <c r="G552" s="41">
        <v>59.9</v>
      </c>
      <c r="H552" s="93">
        <f t="shared" si="135"/>
        <v>100</v>
      </c>
    </row>
    <row r="553" spans="1:8" ht="39.6" x14ac:dyDescent="0.25">
      <c r="A553" s="16" t="s">
        <v>100</v>
      </c>
      <c r="B553" s="16" t="s">
        <v>93</v>
      </c>
      <c r="C553" s="82" t="s">
        <v>25</v>
      </c>
      <c r="D553" s="82"/>
      <c r="E553" s="98" t="s">
        <v>39</v>
      </c>
      <c r="F553" s="41">
        <f>F554</f>
        <v>240</v>
      </c>
      <c r="G553" s="41">
        <f t="shared" ref="G553:G554" si="137">G554</f>
        <v>240</v>
      </c>
      <c r="H553" s="93">
        <f t="shared" si="135"/>
        <v>100</v>
      </c>
    </row>
    <row r="554" spans="1:8" ht="52.8" x14ac:dyDescent="0.25">
      <c r="A554" s="16" t="s">
        <v>100</v>
      </c>
      <c r="B554" s="16" t="s">
        <v>93</v>
      </c>
      <c r="C554" s="82" t="s">
        <v>555</v>
      </c>
      <c r="D554" s="21"/>
      <c r="E554" s="54" t="s">
        <v>554</v>
      </c>
      <c r="F554" s="39">
        <f>F555</f>
        <v>240</v>
      </c>
      <c r="G554" s="39">
        <f t="shared" si="137"/>
        <v>240</v>
      </c>
      <c r="H554" s="93">
        <f t="shared" si="135"/>
        <v>100</v>
      </c>
    </row>
    <row r="555" spans="1:8" ht="39.6" x14ac:dyDescent="0.25">
      <c r="A555" s="16" t="s">
        <v>100</v>
      </c>
      <c r="B555" s="16" t="s">
        <v>93</v>
      </c>
      <c r="C555" s="82" t="s">
        <v>555</v>
      </c>
      <c r="D555" s="82" t="s">
        <v>205</v>
      </c>
      <c r="E555" s="97" t="s">
        <v>206</v>
      </c>
      <c r="F555" s="39">
        <v>240</v>
      </c>
      <c r="G555" s="39">
        <v>240</v>
      </c>
      <c r="H555" s="93">
        <f t="shared" si="135"/>
        <v>100</v>
      </c>
    </row>
    <row r="556" spans="1:8" ht="15.6" x14ac:dyDescent="0.3">
      <c r="A556" s="4" t="s">
        <v>109</v>
      </c>
      <c r="B556" s="3"/>
      <c r="C556" s="3"/>
      <c r="D556" s="3"/>
      <c r="E556" s="49" t="s">
        <v>110</v>
      </c>
      <c r="F556" s="91">
        <f>F557+F562+F575</f>
        <v>57195.600000000006</v>
      </c>
      <c r="G556" s="91">
        <f>G557+G562+G575</f>
        <v>51919.6</v>
      </c>
      <c r="H556" s="186">
        <f t="shared" si="135"/>
        <v>90.8</v>
      </c>
    </row>
    <row r="557" spans="1:8" s="37" customFormat="1" ht="14.4" x14ac:dyDescent="0.3">
      <c r="A557" s="35" t="s">
        <v>109</v>
      </c>
      <c r="B557" s="35" t="s">
        <v>87</v>
      </c>
      <c r="C557" s="35"/>
      <c r="D557" s="35"/>
      <c r="E557" s="45" t="s">
        <v>111</v>
      </c>
      <c r="F557" s="42">
        <f t="shared" ref="F557:G560" si="138">F558</f>
        <v>2338.3000000000002</v>
      </c>
      <c r="G557" s="42">
        <f t="shared" si="138"/>
        <v>2294.6</v>
      </c>
      <c r="H557" s="42">
        <f t="shared" si="135"/>
        <v>98.1</v>
      </c>
    </row>
    <row r="558" spans="1:8" ht="93" x14ac:dyDescent="0.3">
      <c r="A558" s="5" t="s">
        <v>109</v>
      </c>
      <c r="B558" s="5" t="s">
        <v>87</v>
      </c>
      <c r="C558" s="73" t="s">
        <v>36</v>
      </c>
      <c r="D558" s="3"/>
      <c r="E558" s="139" t="s">
        <v>572</v>
      </c>
      <c r="F558" s="95">
        <f t="shared" si="138"/>
        <v>2338.3000000000002</v>
      </c>
      <c r="G558" s="95">
        <f t="shared" si="138"/>
        <v>2294.6</v>
      </c>
      <c r="H558" s="62">
        <f t="shared" si="135"/>
        <v>98.1</v>
      </c>
    </row>
    <row r="559" spans="1:8" ht="27" x14ac:dyDescent="0.3">
      <c r="A559" s="16" t="s">
        <v>109</v>
      </c>
      <c r="B559" s="16" t="s">
        <v>87</v>
      </c>
      <c r="C559" s="52" t="s">
        <v>38</v>
      </c>
      <c r="D559" s="3"/>
      <c r="E559" s="46" t="s">
        <v>80</v>
      </c>
      <c r="F559" s="92">
        <f t="shared" si="138"/>
        <v>2338.3000000000002</v>
      </c>
      <c r="G559" s="92">
        <f t="shared" si="138"/>
        <v>2294.6</v>
      </c>
      <c r="H559" s="58">
        <f t="shared" si="135"/>
        <v>98.1</v>
      </c>
    </row>
    <row r="560" spans="1:8" ht="27" x14ac:dyDescent="0.3">
      <c r="A560" s="16" t="s">
        <v>109</v>
      </c>
      <c r="B560" s="16" t="s">
        <v>87</v>
      </c>
      <c r="C560" s="79">
        <v>1320225100</v>
      </c>
      <c r="D560" s="3"/>
      <c r="E560" s="98" t="s">
        <v>358</v>
      </c>
      <c r="F560" s="41">
        <f t="shared" si="138"/>
        <v>2338.3000000000002</v>
      </c>
      <c r="G560" s="41">
        <f t="shared" si="138"/>
        <v>2294.6</v>
      </c>
      <c r="H560" s="93">
        <f t="shared" si="135"/>
        <v>98.1</v>
      </c>
    </row>
    <row r="561" spans="1:8" ht="26.4" x14ac:dyDescent="0.25">
      <c r="A561" s="16" t="s">
        <v>109</v>
      </c>
      <c r="B561" s="16" t="s">
        <v>87</v>
      </c>
      <c r="C561" s="79">
        <v>1320225100</v>
      </c>
      <c r="D561" s="82" t="s">
        <v>273</v>
      </c>
      <c r="E561" s="97" t="s">
        <v>274</v>
      </c>
      <c r="F561" s="39">
        <f>1585.3+753</f>
        <v>2338.3000000000002</v>
      </c>
      <c r="G561" s="39">
        <v>2294.6</v>
      </c>
      <c r="H561" s="93">
        <f t="shared" si="135"/>
        <v>98.1</v>
      </c>
    </row>
    <row r="562" spans="1:8" s="37" customFormat="1" ht="14.4" x14ac:dyDescent="0.3">
      <c r="A562" s="35" t="s">
        <v>109</v>
      </c>
      <c r="B562" s="35" t="s">
        <v>92</v>
      </c>
      <c r="C562" s="35"/>
      <c r="D562" s="35"/>
      <c r="E562" s="45" t="s">
        <v>115</v>
      </c>
      <c r="F562" s="42">
        <f>F563+F567+F571</f>
        <v>1890</v>
      </c>
      <c r="G562" s="42">
        <f t="shared" ref="G562" si="139">G563+G567+G571</f>
        <v>1707.7</v>
      </c>
      <c r="H562" s="42">
        <f t="shared" si="135"/>
        <v>90.4</v>
      </c>
    </row>
    <row r="563" spans="1:8" s="37" customFormat="1" ht="79.8" x14ac:dyDescent="0.3">
      <c r="A563" s="5" t="s">
        <v>109</v>
      </c>
      <c r="B563" s="5" t="s">
        <v>92</v>
      </c>
      <c r="C563" s="21" t="s">
        <v>74</v>
      </c>
      <c r="D563" s="35"/>
      <c r="E563" s="64" t="s">
        <v>559</v>
      </c>
      <c r="F563" s="65">
        <f t="shared" ref="F563:G564" si="140">F564</f>
        <v>1152</v>
      </c>
      <c r="G563" s="65">
        <f t="shared" si="140"/>
        <v>969.7</v>
      </c>
      <c r="H563" s="62">
        <f t="shared" si="135"/>
        <v>84.2</v>
      </c>
    </row>
    <row r="564" spans="1:8" s="37" customFormat="1" ht="27" customHeight="1" x14ac:dyDescent="0.3">
      <c r="A564" s="16" t="s">
        <v>109</v>
      </c>
      <c r="B564" s="16" t="s">
        <v>92</v>
      </c>
      <c r="C564" s="52" t="s">
        <v>423</v>
      </c>
      <c r="D564" s="82"/>
      <c r="E564" s="46" t="s">
        <v>422</v>
      </c>
      <c r="F564" s="58">
        <f t="shared" si="140"/>
        <v>1152</v>
      </c>
      <c r="G564" s="58">
        <f t="shared" si="140"/>
        <v>969.7</v>
      </c>
      <c r="H564" s="58">
        <f t="shared" si="135"/>
        <v>84.2</v>
      </c>
    </row>
    <row r="565" spans="1:8" s="37" customFormat="1" ht="103.5" customHeight="1" x14ac:dyDescent="0.3">
      <c r="A565" s="16" t="s">
        <v>109</v>
      </c>
      <c r="B565" s="16" t="s">
        <v>92</v>
      </c>
      <c r="C565" s="80">
        <v>140210560</v>
      </c>
      <c r="D565" s="82"/>
      <c r="E565" s="97" t="s">
        <v>177</v>
      </c>
      <c r="F565" s="41">
        <f>F566</f>
        <v>1152</v>
      </c>
      <c r="G565" s="41">
        <f>G566</f>
        <v>969.7</v>
      </c>
      <c r="H565" s="93">
        <f t="shared" si="135"/>
        <v>84.2</v>
      </c>
    </row>
    <row r="566" spans="1:8" s="37" customFormat="1" ht="26.4" x14ac:dyDescent="0.3">
      <c r="A566" s="16" t="s">
        <v>109</v>
      </c>
      <c r="B566" s="16" t="s">
        <v>92</v>
      </c>
      <c r="C566" s="80">
        <v>140210560</v>
      </c>
      <c r="D566" s="82" t="s">
        <v>273</v>
      </c>
      <c r="E566" s="97" t="s">
        <v>274</v>
      </c>
      <c r="F566" s="39">
        <v>1152</v>
      </c>
      <c r="G566" s="39">
        <v>969.7</v>
      </c>
      <c r="H566" s="93">
        <f t="shared" si="135"/>
        <v>84.2</v>
      </c>
    </row>
    <row r="567" spans="1:8" s="37" customFormat="1" ht="93" x14ac:dyDescent="0.3">
      <c r="A567" s="5" t="s">
        <v>109</v>
      </c>
      <c r="B567" s="5" t="s">
        <v>92</v>
      </c>
      <c r="C567" s="73" t="s">
        <v>36</v>
      </c>
      <c r="D567" s="3"/>
      <c r="E567" s="139" t="s">
        <v>572</v>
      </c>
      <c r="F567" s="59">
        <f t="shared" ref="F567:G568" si="141">F568</f>
        <v>688</v>
      </c>
      <c r="G567" s="59">
        <f t="shared" si="141"/>
        <v>688</v>
      </c>
      <c r="H567" s="62">
        <f t="shared" si="135"/>
        <v>100</v>
      </c>
    </row>
    <row r="568" spans="1:8" s="37" customFormat="1" ht="27" x14ac:dyDescent="0.3">
      <c r="A568" s="47" t="s">
        <v>109</v>
      </c>
      <c r="B568" s="47" t="s">
        <v>92</v>
      </c>
      <c r="C568" s="52" t="s">
        <v>38</v>
      </c>
      <c r="D568" s="16"/>
      <c r="E568" s="46" t="s">
        <v>80</v>
      </c>
      <c r="F568" s="92">
        <f>F569</f>
        <v>688</v>
      </c>
      <c r="G568" s="92">
        <f t="shared" si="141"/>
        <v>688</v>
      </c>
      <c r="H568" s="58">
        <f t="shared" si="135"/>
        <v>100</v>
      </c>
    </row>
    <row r="569" spans="1:8" s="37" customFormat="1" ht="66" x14ac:dyDescent="0.3">
      <c r="A569" s="16" t="s">
        <v>109</v>
      </c>
      <c r="B569" s="16" t="s">
        <v>92</v>
      </c>
      <c r="C569" s="79">
        <v>1320127100</v>
      </c>
      <c r="D569" s="16"/>
      <c r="E569" s="97" t="s">
        <v>3</v>
      </c>
      <c r="F569" s="41">
        <f t="shared" ref="F569:G569" si="142">F570</f>
        <v>688</v>
      </c>
      <c r="G569" s="41">
        <f t="shared" si="142"/>
        <v>688</v>
      </c>
      <c r="H569" s="93">
        <f t="shared" si="135"/>
        <v>100</v>
      </c>
    </row>
    <row r="570" spans="1:8" s="37" customFormat="1" ht="79.8" x14ac:dyDescent="0.3">
      <c r="A570" s="16" t="s">
        <v>109</v>
      </c>
      <c r="B570" s="16" t="s">
        <v>92</v>
      </c>
      <c r="C570" s="79">
        <v>1320127100</v>
      </c>
      <c r="D570" s="16" t="s">
        <v>19</v>
      </c>
      <c r="E570" s="98" t="s">
        <v>356</v>
      </c>
      <c r="F570" s="41">
        <v>688</v>
      </c>
      <c r="G570" s="41">
        <v>688</v>
      </c>
      <c r="H570" s="93">
        <f t="shared" si="135"/>
        <v>100</v>
      </c>
    </row>
    <row r="571" spans="1:8" s="37" customFormat="1" ht="26.4" x14ac:dyDescent="0.3">
      <c r="A571" s="5" t="s">
        <v>109</v>
      </c>
      <c r="B571" s="5" t="s">
        <v>92</v>
      </c>
      <c r="C571" s="83">
        <v>9900000000</v>
      </c>
      <c r="D571" s="5"/>
      <c r="E571" s="84" t="s">
        <v>139</v>
      </c>
      <c r="F571" s="62">
        <f>F572</f>
        <v>50</v>
      </c>
      <c r="G571" s="62">
        <f t="shared" ref="G571" si="143">G572</f>
        <v>50</v>
      </c>
      <c r="H571" s="62">
        <f t="shared" si="135"/>
        <v>100</v>
      </c>
    </row>
    <row r="572" spans="1:8" s="37" customFormat="1" ht="14.4" x14ac:dyDescent="0.3">
      <c r="A572" s="16" t="s">
        <v>109</v>
      </c>
      <c r="B572" s="16" t="s">
        <v>92</v>
      </c>
      <c r="C572" s="79">
        <v>9920000000</v>
      </c>
      <c r="D572" s="35"/>
      <c r="E572" s="124" t="s">
        <v>5</v>
      </c>
      <c r="F572" s="93">
        <f t="shared" ref="F572:G573" si="144">F573</f>
        <v>50</v>
      </c>
      <c r="G572" s="93">
        <f t="shared" si="144"/>
        <v>50</v>
      </c>
      <c r="H572" s="93">
        <f t="shared" si="135"/>
        <v>100</v>
      </c>
    </row>
    <row r="573" spans="1:8" s="37" customFormat="1" ht="27" x14ac:dyDescent="0.3">
      <c r="A573" s="16" t="s">
        <v>109</v>
      </c>
      <c r="B573" s="16" t="s">
        <v>92</v>
      </c>
      <c r="C573" s="79">
        <v>9920026100</v>
      </c>
      <c r="D573" s="21"/>
      <c r="E573" s="98" t="s">
        <v>11</v>
      </c>
      <c r="F573" s="39">
        <f t="shared" si="144"/>
        <v>50</v>
      </c>
      <c r="G573" s="39">
        <f t="shared" si="144"/>
        <v>50</v>
      </c>
      <c r="H573" s="93">
        <f t="shared" si="135"/>
        <v>100</v>
      </c>
    </row>
    <row r="574" spans="1:8" s="37" customFormat="1" ht="14.4" x14ac:dyDescent="0.3">
      <c r="A574" s="16" t="s">
        <v>109</v>
      </c>
      <c r="B574" s="16" t="s">
        <v>92</v>
      </c>
      <c r="C574" s="79">
        <v>9920026100</v>
      </c>
      <c r="D574" s="82" t="s">
        <v>81</v>
      </c>
      <c r="E574" s="97" t="s">
        <v>82</v>
      </c>
      <c r="F574" s="39">
        <v>50</v>
      </c>
      <c r="G574" s="39">
        <v>50</v>
      </c>
      <c r="H574" s="93">
        <f t="shared" ref="H574" si="145">ROUND((G574/F574*100),1)</f>
        <v>100</v>
      </c>
    </row>
    <row r="575" spans="1:8" ht="14.4" x14ac:dyDescent="0.3">
      <c r="A575" s="35" t="s">
        <v>109</v>
      </c>
      <c r="B575" s="35" t="s">
        <v>93</v>
      </c>
      <c r="C575" s="35"/>
      <c r="D575" s="38"/>
      <c r="E575" s="50" t="s">
        <v>13</v>
      </c>
      <c r="F575" s="42">
        <f t="shared" ref="F575:G575" si="146">F576+F581</f>
        <v>52967.3</v>
      </c>
      <c r="G575" s="42">
        <f t="shared" si="146"/>
        <v>47917.299999999996</v>
      </c>
      <c r="H575" s="42">
        <f t="shared" si="135"/>
        <v>90.5</v>
      </c>
    </row>
    <row r="576" spans="1:8" ht="79.8" x14ac:dyDescent="0.3">
      <c r="A576" s="16" t="s">
        <v>109</v>
      </c>
      <c r="B576" s="16" t="s">
        <v>93</v>
      </c>
      <c r="C576" s="21" t="s">
        <v>74</v>
      </c>
      <c r="D576" s="35"/>
      <c r="E576" s="64" t="s">
        <v>559</v>
      </c>
      <c r="F576" s="95">
        <f t="shared" ref="F576:G577" si="147">F577</f>
        <v>13068.1</v>
      </c>
      <c r="G576" s="95">
        <f t="shared" si="147"/>
        <v>8018.2</v>
      </c>
      <c r="H576" s="62">
        <f t="shared" ref="H576:H627" si="148">ROUND((G576/F576*100),1)</f>
        <v>61.4</v>
      </c>
    </row>
    <row r="577" spans="1:8" ht="27" x14ac:dyDescent="0.3">
      <c r="A577" s="16" t="s">
        <v>109</v>
      </c>
      <c r="B577" s="16" t="s">
        <v>93</v>
      </c>
      <c r="C577" s="52" t="s">
        <v>75</v>
      </c>
      <c r="D577" s="35"/>
      <c r="E577" s="46" t="s">
        <v>384</v>
      </c>
      <c r="F577" s="92">
        <f t="shared" si="147"/>
        <v>13068.1</v>
      </c>
      <c r="G577" s="92">
        <f t="shared" si="147"/>
        <v>8018.2</v>
      </c>
      <c r="H577" s="58">
        <f t="shared" si="148"/>
        <v>61.4</v>
      </c>
    </row>
    <row r="578" spans="1:8" ht="79.2" x14ac:dyDescent="0.25">
      <c r="A578" s="16" t="s">
        <v>109</v>
      </c>
      <c r="B578" s="16" t="s">
        <v>93</v>
      </c>
      <c r="C578" s="57" t="s">
        <v>383</v>
      </c>
      <c r="D578" s="21"/>
      <c r="E578" s="97" t="s">
        <v>382</v>
      </c>
      <c r="F578" s="93">
        <f>F579+F580</f>
        <v>13068.1</v>
      </c>
      <c r="G578" s="93">
        <f>G579+G580</f>
        <v>8018.2</v>
      </c>
      <c r="H578" s="93">
        <f t="shared" si="148"/>
        <v>61.4</v>
      </c>
    </row>
    <row r="579" spans="1:8" ht="39.6" x14ac:dyDescent="0.25">
      <c r="A579" s="16" t="s">
        <v>109</v>
      </c>
      <c r="B579" s="16" t="s">
        <v>93</v>
      </c>
      <c r="C579" s="57" t="s">
        <v>383</v>
      </c>
      <c r="D579" s="82" t="s">
        <v>205</v>
      </c>
      <c r="E579" s="97" t="s">
        <v>206</v>
      </c>
      <c r="F579" s="93">
        <v>330</v>
      </c>
      <c r="G579" s="93">
        <v>192.4</v>
      </c>
      <c r="H579" s="93">
        <f t="shared" si="148"/>
        <v>58.3</v>
      </c>
    </row>
    <row r="580" spans="1:8" ht="39.6" x14ac:dyDescent="0.25">
      <c r="A580" s="16" t="s">
        <v>109</v>
      </c>
      <c r="B580" s="16" t="s">
        <v>93</v>
      </c>
      <c r="C580" s="57" t="s">
        <v>383</v>
      </c>
      <c r="D580" s="82" t="s">
        <v>256</v>
      </c>
      <c r="E580" s="97" t="s">
        <v>245</v>
      </c>
      <c r="F580" s="93">
        <v>12738.1</v>
      </c>
      <c r="G580" s="93">
        <v>7825.8</v>
      </c>
      <c r="H580" s="93">
        <f t="shared" si="148"/>
        <v>61.4</v>
      </c>
    </row>
    <row r="581" spans="1:8" ht="93" x14ac:dyDescent="0.3">
      <c r="A581" s="5" t="s">
        <v>109</v>
      </c>
      <c r="B581" s="5" t="s">
        <v>93</v>
      </c>
      <c r="C581" s="73" t="s">
        <v>36</v>
      </c>
      <c r="D581" s="3"/>
      <c r="E581" s="139" t="s">
        <v>572</v>
      </c>
      <c r="F581" s="59">
        <f t="shared" ref="F581:G581" si="149">F582</f>
        <v>39899.200000000004</v>
      </c>
      <c r="G581" s="59">
        <f t="shared" si="149"/>
        <v>39899.1</v>
      </c>
      <c r="H581" s="62">
        <f t="shared" si="148"/>
        <v>100</v>
      </c>
    </row>
    <row r="582" spans="1:8" ht="27" x14ac:dyDescent="0.3">
      <c r="A582" s="47" t="s">
        <v>109</v>
      </c>
      <c r="B582" s="47" t="s">
        <v>93</v>
      </c>
      <c r="C582" s="52" t="s">
        <v>37</v>
      </c>
      <c r="D582" s="35"/>
      <c r="E582" s="46" t="s">
        <v>83</v>
      </c>
      <c r="F582" s="92">
        <f>F583+F585+F587+F589+F591</f>
        <v>39899.200000000004</v>
      </c>
      <c r="G582" s="92">
        <f t="shared" ref="G582" si="150">G583+G585+G587+G589+G591</f>
        <v>39899.1</v>
      </c>
      <c r="H582" s="58">
        <f t="shared" si="148"/>
        <v>100</v>
      </c>
    </row>
    <row r="583" spans="1:8" ht="40.200000000000003" x14ac:dyDescent="0.3">
      <c r="A583" s="16" t="s">
        <v>109</v>
      </c>
      <c r="B583" s="16" t="s">
        <v>93</v>
      </c>
      <c r="C583" s="21" t="s">
        <v>300</v>
      </c>
      <c r="D583" s="3"/>
      <c r="E583" s="126" t="s">
        <v>196</v>
      </c>
      <c r="F583" s="41">
        <f t="shared" ref="F583:G583" si="151">F584</f>
        <v>686.2</v>
      </c>
      <c r="G583" s="41">
        <f t="shared" si="151"/>
        <v>686.2</v>
      </c>
      <c r="H583" s="93">
        <f t="shared" si="148"/>
        <v>100</v>
      </c>
    </row>
    <row r="584" spans="1:8" x14ac:dyDescent="0.25">
      <c r="A584" s="16" t="s">
        <v>109</v>
      </c>
      <c r="B584" s="16" t="s">
        <v>93</v>
      </c>
      <c r="C584" s="21" t="s">
        <v>300</v>
      </c>
      <c r="D584" s="82" t="s">
        <v>244</v>
      </c>
      <c r="E584" s="101" t="s">
        <v>243</v>
      </c>
      <c r="F584" s="41">
        <v>686.2</v>
      </c>
      <c r="G584" s="41">
        <v>686.2</v>
      </c>
      <c r="H584" s="93">
        <f t="shared" si="148"/>
        <v>100</v>
      </c>
    </row>
    <row r="585" spans="1:8" ht="39.6" x14ac:dyDescent="0.25">
      <c r="A585" s="16" t="s">
        <v>109</v>
      </c>
      <c r="B585" s="16" t="s">
        <v>93</v>
      </c>
      <c r="C585" s="21" t="s">
        <v>649</v>
      </c>
      <c r="D585" s="82"/>
      <c r="E585" s="122" t="s">
        <v>650</v>
      </c>
      <c r="F585" s="41">
        <f>F586</f>
        <v>2744.9</v>
      </c>
      <c r="G585" s="41">
        <f t="shared" ref="G585" si="152">G586</f>
        <v>2744.9</v>
      </c>
      <c r="H585" s="93">
        <f t="shared" si="148"/>
        <v>100</v>
      </c>
    </row>
    <row r="586" spans="1:8" x14ac:dyDescent="0.25">
      <c r="A586" s="16" t="s">
        <v>109</v>
      </c>
      <c r="B586" s="16" t="s">
        <v>93</v>
      </c>
      <c r="C586" s="21" t="s">
        <v>649</v>
      </c>
      <c r="D586" s="82" t="s">
        <v>244</v>
      </c>
      <c r="E586" s="101" t="s">
        <v>243</v>
      </c>
      <c r="F586" s="41">
        <v>2744.9</v>
      </c>
      <c r="G586" s="41">
        <v>2744.9</v>
      </c>
      <c r="H586" s="93">
        <f t="shared" si="148"/>
        <v>100</v>
      </c>
    </row>
    <row r="587" spans="1:8" ht="66" x14ac:dyDescent="0.25">
      <c r="A587" s="16" t="s">
        <v>109</v>
      </c>
      <c r="B587" s="16" t="s">
        <v>93</v>
      </c>
      <c r="C587" s="79">
        <v>1310210820</v>
      </c>
      <c r="D587" s="16"/>
      <c r="E587" s="97" t="s">
        <v>163</v>
      </c>
      <c r="F587" s="39">
        <f>F588</f>
        <v>14410.7</v>
      </c>
      <c r="G587" s="39">
        <f>G588</f>
        <v>14410.6</v>
      </c>
      <c r="H587" s="93">
        <f t="shared" si="148"/>
        <v>100</v>
      </c>
    </row>
    <row r="588" spans="1:8" x14ac:dyDescent="0.25">
      <c r="A588" s="16" t="s">
        <v>109</v>
      </c>
      <c r="B588" s="16" t="s">
        <v>93</v>
      </c>
      <c r="C588" s="79">
        <v>1310210820</v>
      </c>
      <c r="D588" s="82" t="s">
        <v>244</v>
      </c>
      <c r="E588" s="101" t="s">
        <v>243</v>
      </c>
      <c r="F588" s="39">
        <f>4803.6+9607.1</f>
        <v>14410.7</v>
      </c>
      <c r="G588" s="39">
        <v>14410.6</v>
      </c>
      <c r="H588" s="93">
        <f t="shared" si="148"/>
        <v>100</v>
      </c>
    </row>
    <row r="589" spans="1:8" ht="39.6" x14ac:dyDescent="0.25">
      <c r="A589" s="16" t="s">
        <v>109</v>
      </c>
      <c r="B589" s="16" t="s">
        <v>93</v>
      </c>
      <c r="C589" s="79" t="s">
        <v>333</v>
      </c>
      <c r="D589" s="16"/>
      <c r="E589" s="97" t="s">
        <v>307</v>
      </c>
      <c r="F589" s="39">
        <f>F590</f>
        <v>8005.9</v>
      </c>
      <c r="G589" s="39">
        <f>G590</f>
        <v>8005.9</v>
      </c>
      <c r="H589" s="93">
        <f t="shared" si="148"/>
        <v>100</v>
      </c>
    </row>
    <row r="590" spans="1:8" x14ac:dyDescent="0.25">
      <c r="A590" s="16" t="s">
        <v>109</v>
      </c>
      <c r="B590" s="16" t="s">
        <v>93</v>
      </c>
      <c r="C590" s="79" t="s">
        <v>333</v>
      </c>
      <c r="D590" s="82" t="s">
        <v>244</v>
      </c>
      <c r="E590" s="101" t="s">
        <v>243</v>
      </c>
      <c r="F590" s="39">
        <f>17613-9607.1</f>
        <v>8005.9</v>
      </c>
      <c r="G590" s="39">
        <f>17613-9607.1</f>
        <v>8005.9</v>
      </c>
      <c r="H590" s="93">
        <f t="shared" si="148"/>
        <v>100</v>
      </c>
    </row>
    <row r="591" spans="1:8" ht="52.8" x14ac:dyDescent="0.25">
      <c r="A591" s="16" t="s">
        <v>109</v>
      </c>
      <c r="B591" s="16" t="s">
        <v>93</v>
      </c>
      <c r="C591" s="74" t="s">
        <v>327</v>
      </c>
      <c r="D591" s="16"/>
      <c r="E591" s="97" t="s">
        <v>314</v>
      </c>
      <c r="F591" s="93">
        <f t="shared" ref="F591:G591" si="153">F592</f>
        <v>14051.5</v>
      </c>
      <c r="G591" s="93">
        <f t="shared" si="153"/>
        <v>14051.5</v>
      </c>
      <c r="H591" s="93">
        <f t="shared" si="148"/>
        <v>100</v>
      </c>
    </row>
    <row r="592" spans="1:8" ht="39.6" x14ac:dyDescent="0.25">
      <c r="A592" s="16" t="s">
        <v>109</v>
      </c>
      <c r="B592" s="16" t="s">
        <v>93</v>
      </c>
      <c r="C592" s="74" t="s">
        <v>327</v>
      </c>
      <c r="D592" s="82" t="s">
        <v>256</v>
      </c>
      <c r="E592" s="97" t="s">
        <v>245</v>
      </c>
      <c r="F592" s="93">
        <f>2810.3+11241.2</f>
        <v>14051.5</v>
      </c>
      <c r="G592" s="93">
        <v>14051.5</v>
      </c>
      <c r="H592" s="93">
        <f t="shared" si="148"/>
        <v>100</v>
      </c>
    </row>
    <row r="593" spans="1:8" ht="15.6" x14ac:dyDescent="0.3">
      <c r="A593" s="4" t="s">
        <v>101</v>
      </c>
      <c r="B593" s="3"/>
      <c r="C593" s="3"/>
      <c r="D593" s="3"/>
      <c r="E593" s="49" t="s">
        <v>122</v>
      </c>
      <c r="F593" s="91">
        <f t="shared" ref="F593:G595" si="154">F594</f>
        <v>5986</v>
      </c>
      <c r="G593" s="91">
        <f t="shared" si="154"/>
        <v>5986</v>
      </c>
      <c r="H593" s="186">
        <f t="shared" si="148"/>
        <v>100</v>
      </c>
    </row>
    <row r="594" spans="1:8" s="37" customFormat="1" ht="14.4" x14ac:dyDescent="0.3">
      <c r="A594" s="35" t="s">
        <v>101</v>
      </c>
      <c r="B594" s="35" t="s">
        <v>88</v>
      </c>
      <c r="C594" s="35"/>
      <c r="D594" s="35"/>
      <c r="E594" s="46" t="s">
        <v>6</v>
      </c>
      <c r="F594" s="42">
        <f t="shared" si="154"/>
        <v>5986</v>
      </c>
      <c r="G594" s="42">
        <f t="shared" si="154"/>
        <v>5986</v>
      </c>
      <c r="H594" s="42">
        <f t="shared" si="148"/>
        <v>100</v>
      </c>
    </row>
    <row r="595" spans="1:8" s="37" customFormat="1" ht="93" x14ac:dyDescent="0.3">
      <c r="A595" s="16" t="s">
        <v>101</v>
      </c>
      <c r="B595" s="16" t="s">
        <v>88</v>
      </c>
      <c r="C595" s="73" t="s">
        <v>60</v>
      </c>
      <c r="D595" s="35"/>
      <c r="E595" s="53" t="s">
        <v>560</v>
      </c>
      <c r="F595" s="62">
        <f t="shared" si="154"/>
        <v>5986</v>
      </c>
      <c r="G595" s="62">
        <f t="shared" si="154"/>
        <v>5986</v>
      </c>
      <c r="H595" s="62">
        <f t="shared" si="148"/>
        <v>100</v>
      </c>
    </row>
    <row r="596" spans="1:8" s="37" customFormat="1" ht="40.200000000000003" x14ac:dyDescent="0.3">
      <c r="A596" s="47" t="s">
        <v>101</v>
      </c>
      <c r="B596" s="47" t="s">
        <v>88</v>
      </c>
      <c r="C596" s="52" t="s">
        <v>44</v>
      </c>
      <c r="D596" s="35"/>
      <c r="E596" s="48" t="s">
        <v>195</v>
      </c>
      <c r="F596" s="58">
        <f>F597+F600+F603+F605+F607</f>
        <v>5986</v>
      </c>
      <c r="G596" s="58">
        <f>G597+G600+G603+G605+G607</f>
        <v>5986</v>
      </c>
      <c r="H596" s="58">
        <f t="shared" si="148"/>
        <v>100</v>
      </c>
    </row>
    <row r="597" spans="1:8" s="37" customFormat="1" ht="93" x14ac:dyDescent="0.3">
      <c r="A597" s="16" t="s">
        <v>101</v>
      </c>
      <c r="B597" s="16" t="s">
        <v>88</v>
      </c>
      <c r="C597" s="21" t="s">
        <v>444</v>
      </c>
      <c r="D597" s="21"/>
      <c r="E597" s="98" t="s">
        <v>171</v>
      </c>
      <c r="F597" s="39">
        <f>SUM(F598:F599)</f>
        <v>565.80000000000007</v>
      </c>
      <c r="G597" s="39">
        <f>SUM(G598:G599)</f>
        <v>565.79999999999995</v>
      </c>
      <c r="H597" s="93">
        <f t="shared" si="148"/>
        <v>100</v>
      </c>
    </row>
    <row r="598" spans="1:8" s="37" customFormat="1" ht="26.4" x14ac:dyDescent="0.3">
      <c r="A598" s="16" t="s">
        <v>101</v>
      </c>
      <c r="B598" s="16" t="s">
        <v>88</v>
      </c>
      <c r="C598" s="21" t="s">
        <v>444</v>
      </c>
      <c r="D598" s="82" t="s">
        <v>65</v>
      </c>
      <c r="E598" s="55" t="s">
        <v>128</v>
      </c>
      <c r="F598" s="39">
        <f>130+0.1-6</f>
        <v>124.1</v>
      </c>
      <c r="G598" s="39">
        <v>124.1</v>
      </c>
      <c r="H598" s="93">
        <f t="shared" si="148"/>
        <v>100</v>
      </c>
    </row>
    <row r="599" spans="1:8" s="37" customFormat="1" ht="39.6" x14ac:dyDescent="0.3">
      <c r="A599" s="16" t="s">
        <v>101</v>
      </c>
      <c r="B599" s="16" t="s">
        <v>88</v>
      </c>
      <c r="C599" s="21" t="s">
        <v>444</v>
      </c>
      <c r="D599" s="82" t="s">
        <v>205</v>
      </c>
      <c r="E599" s="97" t="s">
        <v>206</v>
      </c>
      <c r="F599" s="39">
        <f>543.7-130+22+6</f>
        <v>441.70000000000005</v>
      </c>
      <c r="G599" s="39">
        <v>441.7</v>
      </c>
      <c r="H599" s="93">
        <f t="shared" si="148"/>
        <v>100</v>
      </c>
    </row>
    <row r="600" spans="1:8" s="37" customFormat="1" ht="66.599999999999994" x14ac:dyDescent="0.3">
      <c r="A600" s="16" t="s">
        <v>101</v>
      </c>
      <c r="B600" s="16" t="s">
        <v>88</v>
      </c>
      <c r="C600" s="21" t="s">
        <v>445</v>
      </c>
      <c r="D600" s="21"/>
      <c r="E600" s="98" t="s">
        <v>62</v>
      </c>
      <c r="F600" s="39">
        <f>SUM(F601:F602)</f>
        <v>68.5</v>
      </c>
      <c r="G600" s="39">
        <f>SUM(G601:G602)</f>
        <v>68.5</v>
      </c>
      <c r="H600" s="93">
        <f t="shared" si="148"/>
        <v>100</v>
      </c>
    </row>
    <row r="601" spans="1:8" s="37" customFormat="1" ht="26.4" x14ac:dyDescent="0.3">
      <c r="A601" s="16" t="s">
        <v>101</v>
      </c>
      <c r="B601" s="16" t="s">
        <v>88</v>
      </c>
      <c r="C601" s="21" t="s">
        <v>445</v>
      </c>
      <c r="D601" s="82" t="s">
        <v>65</v>
      </c>
      <c r="E601" s="55" t="s">
        <v>128</v>
      </c>
      <c r="F601" s="39">
        <f>39.6+8.4</f>
        <v>48</v>
      </c>
      <c r="G601" s="39">
        <f>39.6+8.4</f>
        <v>48</v>
      </c>
      <c r="H601" s="93">
        <f t="shared" si="148"/>
        <v>100</v>
      </c>
    </row>
    <row r="602" spans="1:8" ht="39.6" x14ac:dyDescent="0.25">
      <c r="A602" s="16" t="s">
        <v>101</v>
      </c>
      <c r="B602" s="16" t="s">
        <v>88</v>
      </c>
      <c r="C602" s="21" t="s">
        <v>445</v>
      </c>
      <c r="D602" s="82" t="s">
        <v>205</v>
      </c>
      <c r="E602" s="97" t="s">
        <v>206</v>
      </c>
      <c r="F602" s="39">
        <f>51-30.5</f>
        <v>20.5</v>
      </c>
      <c r="G602" s="39">
        <f>51-30.5</f>
        <v>20.5</v>
      </c>
      <c r="H602" s="93">
        <f t="shared" si="148"/>
        <v>100</v>
      </c>
    </row>
    <row r="603" spans="1:8" ht="27" customHeight="1" x14ac:dyDescent="0.25">
      <c r="A603" s="16" t="s">
        <v>101</v>
      </c>
      <c r="B603" s="16" t="s">
        <v>88</v>
      </c>
      <c r="C603" s="21" t="s">
        <v>655</v>
      </c>
      <c r="D603" s="82"/>
      <c r="E603" s="97" t="s">
        <v>654</v>
      </c>
      <c r="F603" s="39">
        <f>F604</f>
        <v>5101.7</v>
      </c>
      <c r="G603" s="39">
        <f t="shared" ref="G603" si="155">G604</f>
        <v>5101.7</v>
      </c>
      <c r="H603" s="93">
        <f t="shared" si="148"/>
        <v>100</v>
      </c>
    </row>
    <row r="604" spans="1:8" ht="39.6" x14ac:dyDescent="0.25">
      <c r="A604" s="16" t="s">
        <v>101</v>
      </c>
      <c r="B604" s="16" t="s">
        <v>88</v>
      </c>
      <c r="C604" s="21" t="s">
        <v>655</v>
      </c>
      <c r="D604" s="82" t="s">
        <v>205</v>
      </c>
      <c r="E604" s="97" t="s">
        <v>206</v>
      </c>
      <c r="F604" s="39">
        <v>5101.7</v>
      </c>
      <c r="G604" s="39">
        <v>5101.7</v>
      </c>
      <c r="H604" s="93">
        <f t="shared" si="148"/>
        <v>100</v>
      </c>
    </row>
    <row r="605" spans="1:8" ht="52.8" x14ac:dyDescent="0.25">
      <c r="A605" s="16" t="s">
        <v>101</v>
      </c>
      <c r="B605" s="16" t="s">
        <v>88</v>
      </c>
      <c r="C605" s="21" t="s">
        <v>620</v>
      </c>
      <c r="D605" s="82"/>
      <c r="E605" s="97" t="s">
        <v>621</v>
      </c>
      <c r="F605" s="39">
        <f t="shared" ref="F605:G605" si="156">F606</f>
        <v>50</v>
      </c>
      <c r="G605" s="39">
        <f t="shared" si="156"/>
        <v>50</v>
      </c>
      <c r="H605" s="93">
        <f t="shared" si="148"/>
        <v>100</v>
      </c>
    </row>
    <row r="606" spans="1:8" ht="39.6" x14ac:dyDescent="0.25">
      <c r="A606" s="16" t="s">
        <v>101</v>
      </c>
      <c r="B606" s="16" t="s">
        <v>88</v>
      </c>
      <c r="C606" s="21" t="s">
        <v>620</v>
      </c>
      <c r="D606" s="82" t="s">
        <v>205</v>
      </c>
      <c r="E606" s="97" t="s">
        <v>206</v>
      </c>
      <c r="F606" s="39">
        <v>50</v>
      </c>
      <c r="G606" s="39">
        <v>50</v>
      </c>
      <c r="H606" s="93">
        <f t="shared" si="148"/>
        <v>100</v>
      </c>
    </row>
    <row r="607" spans="1:8" ht="52.8" x14ac:dyDescent="0.25">
      <c r="A607" s="16" t="s">
        <v>101</v>
      </c>
      <c r="B607" s="16" t="s">
        <v>88</v>
      </c>
      <c r="C607" s="21" t="s">
        <v>663</v>
      </c>
      <c r="D607" s="82"/>
      <c r="E607" s="97" t="s">
        <v>664</v>
      </c>
      <c r="F607" s="39">
        <f>F608</f>
        <v>200</v>
      </c>
      <c r="G607" s="39">
        <f>G608</f>
        <v>200</v>
      </c>
      <c r="H607" s="93">
        <f t="shared" si="148"/>
        <v>100</v>
      </c>
    </row>
    <row r="608" spans="1:8" ht="39.6" x14ac:dyDescent="0.25">
      <c r="A608" s="16" t="s">
        <v>101</v>
      </c>
      <c r="B608" s="16" t="s">
        <v>88</v>
      </c>
      <c r="C608" s="21" t="s">
        <v>663</v>
      </c>
      <c r="D608" s="82" t="s">
        <v>205</v>
      </c>
      <c r="E608" s="97" t="s">
        <v>206</v>
      </c>
      <c r="F608" s="39">
        <v>200</v>
      </c>
      <c r="G608" s="39">
        <v>200</v>
      </c>
      <c r="H608" s="93">
        <f t="shared" si="148"/>
        <v>100</v>
      </c>
    </row>
    <row r="609" spans="1:8" ht="15.6" x14ac:dyDescent="0.3">
      <c r="A609" s="4" t="s">
        <v>121</v>
      </c>
      <c r="B609" s="3"/>
      <c r="C609" s="3"/>
      <c r="D609" s="3"/>
      <c r="E609" s="49" t="s">
        <v>8</v>
      </c>
      <c r="F609" s="91">
        <f t="shared" ref="F609:G611" si="157">F610</f>
        <v>3836.5</v>
      </c>
      <c r="G609" s="91">
        <f t="shared" si="157"/>
        <v>3836.5</v>
      </c>
      <c r="H609" s="186">
        <f t="shared" si="148"/>
        <v>100</v>
      </c>
    </row>
    <row r="610" spans="1:8" ht="28.8" x14ac:dyDescent="0.3">
      <c r="A610" s="35" t="s">
        <v>121</v>
      </c>
      <c r="B610" s="35" t="s">
        <v>93</v>
      </c>
      <c r="C610" s="35"/>
      <c r="D610" s="35"/>
      <c r="E610" s="50" t="s">
        <v>14</v>
      </c>
      <c r="F610" s="40">
        <f t="shared" si="157"/>
        <v>3836.5</v>
      </c>
      <c r="G610" s="40">
        <f t="shared" si="157"/>
        <v>3836.5</v>
      </c>
      <c r="H610" s="42">
        <f t="shared" si="148"/>
        <v>100</v>
      </c>
    </row>
    <row r="611" spans="1:8" s="20" customFormat="1" ht="93" x14ac:dyDescent="0.3">
      <c r="A611" s="16" t="s">
        <v>121</v>
      </c>
      <c r="B611" s="16" t="s">
        <v>93</v>
      </c>
      <c r="C611" s="74">
        <v>400000000</v>
      </c>
      <c r="D611" s="30"/>
      <c r="E611" s="139" t="s">
        <v>563</v>
      </c>
      <c r="F611" s="95">
        <f t="shared" si="157"/>
        <v>3836.5</v>
      </c>
      <c r="G611" s="95">
        <f t="shared" si="157"/>
        <v>3836.5</v>
      </c>
      <c r="H611" s="62">
        <f t="shared" si="148"/>
        <v>100</v>
      </c>
    </row>
    <row r="612" spans="1:8" s="20" customFormat="1" ht="53.4" x14ac:dyDescent="0.3">
      <c r="A612" s="16" t="s">
        <v>121</v>
      </c>
      <c r="B612" s="16" t="s">
        <v>93</v>
      </c>
      <c r="C612" s="75">
        <v>420000000</v>
      </c>
      <c r="D612" s="30"/>
      <c r="E612" s="46" t="s">
        <v>161</v>
      </c>
      <c r="F612" s="92">
        <f>F613+F615+F617+F619+F621</f>
        <v>3836.5</v>
      </c>
      <c r="G612" s="92">
        <f>G613+G615+G617+G619+G621</f>
        <v>3836.5</v>
      </c>
      <c r="H612" s="58">
        <f t="shared" si="148"/>
        <v>100</v>
      </c>
    </row>
    <row r="613" spans="1:8" s="20" customFormat="1" ht="52.8" x14ac:dyDescent="0.25">
      <c r="A613" s="16" t="s">
        <v>121</v>
      </c>
      <c r="B613" s="16" t="s">
        <v>93</v>
      </c>
      <c r="C613" s="74" t="s">
        <v>467</v>
      </c>
      <c r="D613" s="16"/>
      <c r="E613" s="97" t="s">
        <v>350</v>
      </c>
      <c r="F613" s="41">
        <f>F614</f>
        <v>600</v>
      </c>
      <c r="G613" s="41">
        <f>G614</f>
        <v>600</v>
      </c>
      <c r="H613" s="93">
        <f t="shared" si="148"/>
        <v>100</v>
      </c>
    </row>
    <row r="614" spans="1:8" s="20" customFormat="1" ht="79.2" x14ac:dyDescent="0.25">
      <c r="A614" s="16" t="s">
        <v>121</v>
      </c>
      <c r="B614" s="16" t="s">
        <v>93</v>
      </c>
      <c r="C614" s="74" t="s">
        <v>467</v>
      </c>
      <c r="D614" s="16" t="s">
        <v>19</v>
      </c>
      <c r="E614" s="98" t="s">
        <v>356</v>
      </c>
      <c r="F614" s="41">
        <v>600</v>
      </c>
      <c r="G614" s="41">
        <v>600</v>
      </c>
      <c r="H614" s="93">
        <f t="shared" si="148"/>
        <v>100</v>
      </c>
    </row>
    <row r="615" spans="1:8" s="20" customFormat="1" ht="66" customHeight="1" x14ac:dyDescent="0.25">
      <c r="A615" s="16" t="s">
        <v>121</v>
      </c>
      <c r="B615" s="16" t="s">
        <v>93</v>
      </c>
      <c r="C615" s="74">
        <v>420123230</v>
      </c>
      <c r="D615" s="16"/>
      <c r="E615" s="98" t="s">
        <v>696</v>
      </c>
      <c r="F615" s="41">
        <f>F616</f>
        <v>1300</v>
      </c>
      <c r="G615" s="41">
        <f t="shared" ref="G615" si="158">G616</f>
        <v>1300</v>
      </c>
      <c r="H615" s="93">
        <f t="shared" si="148"/>
        <v>100</v>
      </c>
    </row>
    <row r="616" spans="1:8" s="20" customFormat="1" ht="39.6" x14ac:dyDescent="0.25">
      <c r="A616" s="16" t="s">
        <v>121</v>
      </c>
      <c r="B616" s="16" t="s">
        <v>93</v>
      </c>
      <c r="C616" s="74">
        <v>420123230</v>
      </c>
      <c r="D616" s="82" t="s">
        <v>205</v>
      </c>
      <c r="E616" s="97" t="s">
        <v>206</v>
      </c>
      <c r="F616" s="41">
        <f>1200+100</f>
        <v>1300</v>
      </c>
      <c r="G616" s="41">
        <v>1300</v>
      </c>
      <c r="H616" s="93">
        <f t="shared" si="148"/>
        <v>100</v>
      </c>
    </row>
    <row r="617" spans="1:8" s="20" customFormat="1" ht="39.6" x14ac:dyDescent="0.25">
      <c r="A617" s="16" t="s">
        <v>121</v>
      </c>
      <c r="B617" s="16" t="s">
        <v>93</v>
      </c>
      <c r="C617" s="74">
        <v>420110320</v>
      </c>
      <c r="D617" s="1"/>
      <c r="E617" s="132" t="s">
        <v>468</v>
      </c>
      <c r="F617" s="41">
        <f>F618</f>
        <v>924.4</v>
      </c>
      <c r="G617" s="41">
        <f t="shared" ref="G617" si="159">G618</f>
        <v>924.4</v>
      </c>
      <c r="H617" s="93">
        <f t="shared" si="148"/>
        <v>100</v>
      </c>
    </row>
    <row r="618" spans="1:8" s="20" customFormat="1" ht="79.2" x14ac:dyDescent="0.25">
      <c r="A618" s="16" t="s">
        <v>121</v>
      </c>
      <c r="B618" s="16" t="s">
        <v>93</v>
      </c>
      <c r="C618" s="74">
        <v>420110320</v>
      </c>
      <c r="D618" s="16" t="s">
        <v>19</v>
      </c>
      <c r="E618" s="98" t="s">
        <v>356</v>
      </c>
      <c r="F618" s="41">
        <f>895.5+28.9</f>
        <v>924.4</v>
      </c>
      <c r="G618" s="41">
        <v>924.4</v>
      </c>
      <c r="H618" s="93">
        <f t="shared" si="148"/>
        <v>100</v>
      </c>
    </row>
    <row r="619" spans="1:8" s="20" customFormat="1" ht="79.2" x14ac:dyDescent="0.3">
      <c r="A619" s="16" t="s">
        <v>121</v>
      </c>
      <c r="B619" s="16" t="s">
        <v>93</v>
      </c>
      <c r="C619" s="74">
        <v>420223235</v>
      </c>
      <c r="D619" s="30"/>
      <c r="E619" s="97" t="s">
        <v>697</v>
      </c>
      <c r="F619" s="41">
        <f>F620</f>
        <v>575.29999999999995</v>
      </c>
      <c r="G619" s="41">
        <f>G620</f>
        <v>575.29999999999995</v>
      </c>
      <c r="H619" s="93">
        <f t="shared" si="148"/>
        <v>100</v>
      </c>
    </row>
    <row r="620" spans="1:8" s="20" customFormat="1" ht="39.6" x14ac:dyDescent="0.25">
      <c r="A620" s="16" t="s">
        <v>121</v>
      </c>
      <c r="B620" s="16" t="s">
        <v>93</v>
      </c>
      <c r="C620" s="74">
        <v>420223235</v>
      </c>
      <c r="D620" s="82" t="s">
        <v>205</v>
      </c>
      <c r="E620" s="97" t="s">
        <v>206</v>
      </c>
      <c r="F620" s="41">
        <v>575.29999999999995</v>
      </c>
      <c r="G620" s="41">
        <v>575.29999999999995</v>
      </c>
      <c r="H620" s="93">
        <f t="shared" si="148"/>
        <v>100</v>
      </c>
    </row>
    <row r="621" spans="1:8" ht="69" customHeight="1" x14ac:dyDescent="0.25">
      <c r="A621" s="16" t="s">
        <v>121</v>
      </c>
      <c r="B621" s="16" t="s">
        <v>93</v>
      </c>
      <c r="C621" s="74">
        <v>420223240</v>
      </c>
      <c r="D621" s="82"/>
      <c r="E621" s="97" t="s">
        <v>698</v>
      </c>
      <c r="F621" s="41">
        <f>F622</f>
        <v>436.8</v>
      </c>
      <c r="G621" s="41">
        <f>G622</f>
        <v>436.8</v>
      </c>
      <c r="H621" s="93">
        <f t="shared" si="148"/>
        <v>100</v>
      </c>
    </row>
    <row r="622" spans="1:8" ht="39.6" x14ac:dyDescent="0.25">
      <c r="A622" s="16" t="s">
        <v>121</v>
      </c>
      <c r="B622" s="16" t="s">
        <v>93</v>
      </c>
      <c r="C622" s="74">
        <v>420223240</v>
      </c>
      <c r="D622" s="82" t="s">
        <v>205</v>
      </c>
      <c r="E622" s="97" t="s">
        <v>206</v>
      </c>
      <c r="F622" s="41">
        <v>436.8</v>
      </c>
      <c r="G622" s="41">
        <v>436.8</v>
      </c>
      <c r="H622" s="93">
        <f t="shared" si="148"/>
        <v>100</v>
      </c>
    </row>
    <row r="623" spans="1:8" ht="46.8" x14ac:dyDescent="0.3">
      <c r="A623" s="4" t="s">
        <v>9</v>
      </c>
      <c r="B623" s="5"/>
      <c r="C623" s="1"/>
      <c r="D623" s="1"/>
      <c r="E623" s="10" t="s">
        <v>590</v>
      </c>
      <c r="F623" s="95">
        <f t="shared" ref="F623:G625" si="160">F624</f>
        <v>25</v>
      </c>
      <c r="G623" s="95">
        <f t="shared" si="160"/>
        <v>25</v>
      </c>
      <c r="H623" s="186">
        <f t="shared" si="148"/>
        <v>100</v>
      </c>
    </row>
    <row r="624" spans="1:8" ht="27" x14ac:dyDescent="0.3">
      <c r="A624" s="47" t="s">
        <v>9</v>
      </c>
      <c r="B624" s="47" t="s">
        <v>87</v>
      </c>
      <c r="C624" s="23"/>
      <c r="D624" s="23"/>
      <c r="E624" s="48" t="s">
        <v>591</v>
      </c>
      <c r="F624" s="92">
        <f t="shared" si="160"/>
        <v>25</v>
      </c>
      <c r="G624" s="92">
        <f t="shared" si="160"/>
        <v>25</v>
      </c>
      <c r="H624" s="42">
        <f t="shared" si="148"/>
        <v>100</v>
      </c>
    </row>
    <row r="625" spans="1:8" ht="39.6" x14ac:dyDescent="0.25">
      <c r="A625" s="82" t="s">
        <v>9</v>
      </c>
      <c r="B625" s="82" t="s">
        <v>87</v>
      </c>
      <c r="C625" s="82" t="s">
        <v>25</v>
      </c>
      <c r="D625" s="82"/>
      <c r="E625" s="98" t="s">
        <v>39</v>
      </c>
      <c r="F625" s="39">
        <f t="shared" si="160"/>
        <v>25</v>
      </c>
      <c r="G625" s="39">
        <f t="shared" si="160"/>
        <v>25</v>
      </c>
      <c r="H625" s="93">
        <f t="shared" si="148"/>
        <v>100</v>
      </c>
    </row>
    <row r="626" spans="1:8" ht="26.4" x14ac:dyDescent="0.25">
      <c r="A626" s="82" t="s">
        <v>9</v>
      </c>
      <c r="B626" s="82" t="s">
        <v>87</v>
      </c>
      <c r="C626" s="1">
        <v>9940026500</v>
      </c>
      <c r="D626" s="1"/>
      <c r="E626" s="98" t="s">
        <v>592</v>
      </c>
      <c r="F626" s="39">
        <f>F627</f>
        <v>25</v>
      </c>
      <c r="G626" s="39">
        <f t="shared" ref="G626" si="161">G627</f>
        <v>25</v>
      </c>
      <c r="H626" s="93">
        <f t="shared" si="148"/>
        <v>100</v>
      </c>
    </row>
    <row r="627" spans="1:8" x14ac:dyDescent="0.25">
      <c r="A627" s="82" t="s">
        <v>9</v>
      </c>
      <c r="B627" s="82" t="s">
        <v>87</v>
      </c>
      <c r="C627" s="1">
        <v>9940026500</v>
      </c>
      <c r="D627" s="82" t="s">
        <v>593</v>
      </c>
      <c r="E627" s="1" t="s">
        <v>594</v>
      </c>
      <c r="F627" s="39">
        <f>20.8+4.2</f>
        <v>25</v>
      </c>
      <c r="G627" s="39">
        <f>20.8+4.2</f>
        <v>25</v>
      </c>
      <c r="H627" s="93">
        <f t="shared" si="148"/>
        <v>100</v>
      </c>
    </row>
  </sheetData>
  <mergeCells count="8">
    <mergeCell ref="A8:H8"/>
    <mergeCell ref="A11:A12"/>
    <mergeCell ref="B11:B12"/>
    <mergeCell ref="C11:C12"/>
    <mergeCell ref="D11:D12"/>
    <mergeCell ref="E11:E12"/>
    <mergeCell ref="F11:G11"/>
    <mergeCell ref="H11:H12"/>
  </mergeCells>
  <pageMargins left="0.7" right="0.7" top="0.75" bottom="0.75" header="0.3" footer="0.3"/>
  <pageSetup paperSize="9"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M723"/>
  <sheetViews>
    <sheetView topLeftCell="B1" zoomScaleNormal="100" workbookViewId="0">
      <selection activeCell="I680" sqref="I680"/>
    </sheetView>
  </sheetViews>
  <sheetFormatPr defaultColWidth="9.109375" defaultRowHeight="13.2" x14ac:dyDescent="0.25"/>
  <cols>
    <col min="1" max="1" width="2.33203125" hidden="1" customWidth="1"/>
    <col min="2" max="2" width="3.6640625" style="68" customWidth="1"/>
    <col min="3" max="3" width="2.88671875" customWidth="1"/>
    <col min="4" max="4" width="2.5546875" customWidth="1"/>
    <col min="5" max="5" width="11.5546875" customWidth="1"/>
    <col min="6" max="6" width="3.44140625" customWidth="1"/>
    <col min="7" max="7" width="35.88671875" customWidth="1"/>
    <col min="8" max="8" width="12.109375" customWidth="1"/>
    <col min="9" max="9" width="11" customWidth="1"/>
    <col min="10" max="10" width="10.6640625" customWidth="1"/>
  </cols>
  <sheetData>
    <row r="1" spans="1:10" x14ac:dyDescent="0.25">
      <c r="G1" s="87" t="s">
        <v>553</v>
      </c>
    </row>
    <row r="2" spans="1:10" x14ac:dyDescent="0.25">
      <c r="G2" s="87" t="s">
        <v>366</v>
      </c>
    </row>
    <row r="3" spans="1:10" x14ac:dyDescent="0.25">
      <c r="G3" s="87" t="s">
        <v>716</v>
      </c>
    </row>
    <row r="4" spans="1:10" x14ac:dyDescent="0.25">
      <c r="G4" s="87" t="s">
        <v>717</v>
      </c>
    </row>
    <row r="5" spans="1:10" x14ac:dyDescent="0.25">
      <c r="G5" s="87" t="s">
        <v>718</v>
      </c>
    </row>
    <row r="6" spans="1:10" x14ac:dyDescent="0.25">
      <c r="G6" s="85"/>
      <c r="H6" s="85"/>
      <c r="I6" s="86"/>
      <c r="J6" s="86"/>
    </row>
    <row r="7" spans="1:10" x14ac:dyDescent="0.25">
      <c r="G7" s="7"/>
      <c r="H7" s="7"/>
    </row>
    <row r="8" spans="1:10" ht="79.5" customHeight="1" x14ac:dyDescent="0.25">
      <c r="A8" s="240" t="s">
        <v>728</v>
      </c>
      <c r="B8" s="254"/>
      <c r="C8" s="254"/>
      <c r="D8" s="254"/>
      <c r="E8" s="254"/>
      <c r="F8" s="254"/>
      <c r="G8" s="254"/>
      <c r="H8" s="254"/>
      <c r="I8" s="255"/>
      <c r="J8" s="255"/>
    </row>
    <row r="9" spans="1:10" ht="15" x14ac:dyDescent="0.25">
      <c r="A9" s="108"/>
      <c r="B9" s="109"/>
      <c r="C9" s="109"/>
      <c r="D9" s="109"/>
      <c r="E9" s="109"/>
      <c r="F9" s="109"/>
      <c r="G9" s="109"/>
      <c r="H9" s="109"/>
    </row>
    <row r="10" spans="1:10" x14ac:dyDescent="0.25">
      <c r="B10" s="256" t="s">
        <v>127</v>
      </c>
      <c r="C10" s="245" t="s">
        <v>116</v>
      </c>
      <c r="D10" s="245" t="s">
        <v>117</v>
      </c>
      <c r="E10" s="245" t="s">
        <v>118</v>
      </c>
      <c r="F10" s="245" t="s">
        <v>112</v>
      </c>
      <c r="G10" s="245" t="s">
        <v>89</v>
      </c>
      <c r="H10" s="248" t="s">
        <v>28</v>
      </c>
      <c r="I10" s="249"/>
      <c r="J10" s="245" t="s">
        <v>724</v>
      </c>
    </row>
    <row r="11" spans="1:10" ht="36.75" customHeight="1" x14ac:dyDescent="0.25">
      <c r="A11" s="182"/>
      <c r="B11" s="239"/>
      <c r="C11" s="246"/>
      <c r="D11" s="246"/>
      <c r="E11" s="246"/>
      <c r="F11" s="246"/>
      <c r="G11" s="246"/>
      <c r="H11" s="177" t="s">
        <v>720</v>
      </c>
      <c r="I11" s="177" t="s">
        <v>723</v>
      </c>
      <c r="J11" s="246"/>
    </row>
    <row r="12" spans="1:10" x14ac:dyDescent="0.25">
      <c r="A12" s="2">
        <v>1</v>
      </c>
      <c r="B12" s="69">
        <v>1</v>
      </c>
      <c r="C12" s="69">
        <v>2</v>
      </c>
      <c r="D12" s="69">
        <v>3</v>
      </c>
      <c r="E12" s="69">
        <v>4</v>
      </c>
      <c r="F12" s="69">
        <v>5</v>
      </c>
      <c r="G12" s="69">
        <v>6</v>
      </c>
      <c r="H12" s="69">
        <v>7</v>
      </c>
      <c r="I12" s="69">
        <v>8</v>
      </c>
      <c r="J12" s="69">
        <v>9</v>
      </c>
    </row>
    <row r="13" spans="1:10" ht="17.399999999999999" x14ac:dyDescent="0.3">
      <c r="A13" s="12"/>
      <c r="B13" s="25"/>
      <c r="C13" s="12"/>
      <c r="D13" s="12"/>
      <c r="E13" s="12"/>
      <c r="F13" s="12"/>
      <c r="G13" s="9" t="s">
        <v>91</v>
      </c>
      <c r="H13" s="59">
        <f>H14+H26+H35+H431+H582+H704</f>
        <v>1249707.0999999999</v>
      </c>
      <c r="I13" s="59">
        <f>I14+I26+I35+I431+I582+I704</f>
        <v>1187853.4000000001</v>
      </c>
      <c r="J13" s="186">
        <f t="shared" ref="J13:J77" si="0">ROUND((I13/H13*100),1)</f>
        <v>95.1</v>
      </c>
    </row>
    <row r="14" spans="1:10" ht="34.799999999999997" x14ac:dyDescent="0.3">
      <c r="A14" s="3">
        <v>1</v>
      </c>
      <c r="B14" s="90">
        <v>936</v>
      </c>
      <c r="C14" s="13"/>
      <c r="D14" s="13"/>
      <c r="E14" s="13"/>
      <c r="F14" s="13"/>
      <c r="G14" s="14" t="s">
        <v>135</v>
      </c>
      <c r="H14" s="91">
        <f t="shared" ref="H14:I17" si="1">H15</f>
        <v>4185.5</v>
      </c>
      <c r="I14" s="210">
        <f t="shared" si="1"/>
        <v>4087.4</v>
      </c>
      <c r="J14" s="186">
        <f t="shared" si="0"/>
        <v>97.7</v>
      </c>
    </row>
    <row r="15" spans="1:10" ht="18.75" customHeight="1" x14ac:dyDescent="0.3">
      <c r="A15" s="3"/>
      <c r="B15" s="90"/>
      <c r="C15" s="4" t="s">
        <v>87</v>
      </c>
      <c r="D15" s="11"/>
      <c r="E15" s="11"/>
      <c r="F15" s="11"/>
      <c r="G15" s="49" t="s">
        <v>90</v>
      </c>
      <c r="H15" s="91">
        <f t="shared" si="1"/>
        <v>4185.5</v>
      </c>
      <c r="I15" s="91">
        <f t="shared" si="1"/>
        <v>4087.4</v>
      </c>
      <c r="J15" s="186">
        <f t="shared" si="0"/>
        <v>97.7</v>
      </c>
    </row>
    <row r="16" spans="1:10" ht="66.599999999999994" x14ac:dyDescent="0.3">
      <c r="A16" s="29"/>
      <c r="B16" s="24"/>
      <c r="C16" s="30" t="s">
        <v>87</v>
      </c>
      <c r="D16" s="30" t="s">
        <v>92</v>
      </c>
      <c r="E16" s="31"/>
      <c r="F16" s="31"/>
      <c r="G16" s="48" t="s">
        <v>126</v>
      </c>
      <c r="H16" s="43">
        <f t="shared" si="1"/>
        <v>4185.5</v>
      </c>
      <c r="I16" s="43">
        <f t="shared" si="1"/>
        <v>4087.4</v>
      </c>
      <c r="J16" s="42">
        <f t="shared" si="0"/>
        <v>97.7</v>
      </c>
    </row>
    <row r="17" spans="1:10" ht="26.4" x14ac:dyDescent="0.25">
      <c r="A17" s="1"/>
      <c r="B17" s="25"/>
      <c r="C17" s="16" t="s">
        <v>87</v>
      </c>
      <c r="D17" s="16" t="s">
        <v>92</v>
      </c>
      <c r="E17" s="79">
        <v>9900000000</v>
      </c>
      <c r="F17" s="21"/>
      <c r="G17" s="55" t="s">
        <v>140</v>
      </c>
      <c r="H17" s="41">
        <f t="shared" si="1"/>
        <v>4185.5</v>
      </c>
      <c r="I17" s="41">
        <f t="shared" si="1"/>
        <v>4087.4</v>
      </c>
      <c r="J17" s="93">
        <f t="shared" si="0"/>
        <v>97.7</v>
      </c>
    </row>
    <row r="18" spans="1:10" ht="39.6" x14ac:dyDescent="0.25">
      <c r="A18" s="1"/>
      <c r="B18" s="25"/>
      <c r="C18" s="16" t="s">
        <v>87</v>
      </c>
      <c r="D18" s="16" t="s">
        <v>92</v>
      </c>
      <c r="E18" s="79">
        <v>9990000000</v>
      </c>
      <c r="F18" s="16"/>
      <c r="G18" s="54" t="s">
        <v>29</v>
      </c>
      <c r="H18" s="41">
        <f>H19+H21+H24</f>
        <v>4185.5</v>
      </c>
      <c r="I18" s="41">
        <f t="shared" ref="I18" si="2">I19+I21+I24</f>
        <v>4087.4</v>
      </c>
      <c r="J18" s="93">
        <f t="shared" si="0"/>
        <v>97.7</v>
      </c>
    </row>
    <row r="19" spans="1:10" x14ac:dyDescent="0.25">
      <c r="A19" s="1"/>
      <c r="B19" s="25"/>
      <c r="C19" s="16" t="s">
        <v>87</v>
      </c>
      <c r="D19" s="16" t="s">
        <v>92</v>
      </c>
      <c r="E19" s="79">
        <v>9990022400</v>
      </c>
      <c r="F19" s="16"/>
      <c r="G19" s="97" t="s">
        <v>136</v>
      </c>
      <c r="H19" s="41">
        <f t="shared" ref="H19:I19" si="3">H20</f>
        <v>1522.8</v>
      </c>
      <c r="I19" s="41">
        <f t="shared" si="3"/>
        <v>1499.2</v>
      </c>
      <c r="J19" s="93">
        <f t="shared" si="0"/>
        <v>98.5</v>
      </c>
    </row>
    <row r="20" spans="1:10" ht="39.6" x14ac:dyDescent="0.25">
      <c r="A20" s="1"/>
      <c r="B20" s="25"/>
      <c r="C20" s="16" t="s">
        <v>87</v>
      </c>
      <c r="D20" s="16" t="s">
        <v>92</v>
      </c>
      <c r="E20" s="79">
        <v>9990022400</v>
      </c>
      <c r="F20" s="16" t="s">
        <v>63</v>
      </c>
      <c r="G20" s="55" t="s">
        <v>64</v>
      </c>
      <c r="H20" s="39">
        <f>1365.9+136.6+20.3-156.9+156.9</f>
        <v>1522.8</v>
      </c>
      <c r="I20" s="39">
        <v>1499.2</v>
      </c>
      <c r="J20" s="93">
        <f t="shared" si="0"/>
        <v>98.5</v>
      </c>
    </row>
    <row r="21" spans="1:10" ht="26.4" x14ac:dyDescent="0.25">
      <c r="A21" s="1"/>
      <c r="B21" s="25"/>
      <c r="C21" s="16" t="s">
        <v>87</v>
      </c>
      <c r="D21" s="16" t="s">
        <v>92</v>
      </c>
      <c r="E21" s="79">
        <v>9990022500</v>
      </c>
      <c r="F21" s="21"/>
      <c r="G21" s="98" t="s">
        <v>576</v>
      </c>
      <c r="H21" s="41">
        <f>SUM(H22:H23)</f>
        <v>2617.8000000000002</v>
      </c>
      <c r="I21" s="41">
        <f t="shared" ref="I21" si="4">SUM(I22:I23)</f>
        <v>2543.2999999999997</v>
      </c>
      <c r="J21" s="93">
        <f t="shared" si="0"/>
        <v>97.2</v>
      </c>
    </row>
    <row r="22" spans="1:10" ht="39.6" x14ac:dyDescent="0.25">
      <c r="A22" s="1"/>
      <c r="B22" s="25"/>
      <c r="C22" s="16" t="s">
        <v>87</v>
      </c>
      <c r="D22" s="16" t="s">
        <v>92</v>
      </c>
      <c r="E22" s="79">
        <v>9990022500</v>
      </c>
      <c r="F22" s="16" t="s">
        <v>63</v>
      </c>
      <c r="G22" s="55" t="s">
        <v>64</v>
      </c>
      <c r="H22" s="39">
        <f>2356.8+154.9</f>
        <v>2511.7000000000003</v>
      </c>
      <c r="I22" s="39">
        <v>2449.1999999999998</v>
      </c>
      <c r="J22" s="93">
        <f t="shared" si="0"/>
        <v>97.5</v>
      </c>
    </row>
    <row r="23" spans="1:10" ht="39.6" x14ac:dyDescent="0.25">
      <c r="A23" s="1"/>
      <c r="B23" s="25"/>
      <c r="C23" s="16" t="s">
        <v>87</v>
      </c>
      <c r="D23" s="16" t="s">
        <v>92</v>
      </c>
      <c r="E23" s="79">
        <v>9990022500</v>
      </c>
      <c r="F23" s="82" t="s">
        <v>205</v>
      </c>
      <c r="G23" s="97" t="s">
        <v>206</v>
      </c>
      <c r="H23" s="39">
        <v>106.1</v>
      </c>
      <c r="I23" s="39">
        <v>94.1</v>
      </c>
      <c r="J23" s="93">
        <f t="shared" si="0"/>
        <v>88.7</v>
      </c>
    </row>
    <row r="24" spans="1:10" s="174" customFormat="1" ht="79.2" x14ac:dyDescent="0.25">
      <c r="A24" s="1"/>
      <c r="B24" s="25"/>
      <c r="C24" s="16" t="s">
        <v>87</v>
      </c>
      <c r="D24" s="16" t="s">
        <v>92</v>
      </c>
      <c r="E24" s="173">
        <v>9990055492</v>
      </c>
      <c r="F24" s="82"/>
      <c r="G24" s="172" t="s">
        <v>714</v>
      </c>
      <c r="H24" s="41">
        <f>H25</f>
        <v>44.9</v>
      </c>
      <c r="I24" s="41">
        <f t="shared" ref="I24" si="5">I25</f>
        <v>44.9</v>
      </c>
      <c r="J24" s="93">
        <f t="shared" si="0"/>
        <v>100</v>
      </c>
    </row>
    <row r="25" spans="1:10" s="174" customFormat="1" ht="39.6" x14ac:dyDescent="0.25">
      <c r="A25" s="1"/>
      <c r="B25" s="25"/>
      <c r="C25" s="16" t="s">
        <v>87</v>
      </c>
      <c r="D25" s="16" t="s">
        <v>92</v>
      </c>
      <c r="E25" s="173">
        <v>9990055492</v>
      </c>
      <c r="F25" s="16" t="s">
        <v>63</v>
      </c>
      <c r="G25" s="172" t="s">
        <v>78</v>
      </c>
      <c r="H25" s="41">
        <v>44.9</v>
      </c>
      <c r="I25" s="41">
        <v>44.9</v>
      </c>
      <c r="J25" s="93">
        <f t="shared" si="0"/>
        <v>100</v>
      </c>
    </row>
    <row r="26" spans="1:10" ht="46.8" x14ac:dyDescent="0.3">
      <c r="A26" s="1"/>
      <c r="B26" s="90">
        <v>939</v>
      </c>
      <c r="C26" s="13"/>
      <c r="D26" s="13"/>
      <c r="E26" s="13"/>
      <c r="F26" s="13"/>
      <c r="G26" s="10" t="s">
        <v>194</v>
      </c>
      <c r="H26" s="91">
        <f t="shared" ref="H26:I26" si="6">H27</f>
        <v>1870.3000000000002</v>
      </c>
      <c r="I26" s="91">
        <f t="shared" si="6"/>
        <v>1770</v>
      </c>
      <c r="J26" s="186">
        <f t="shared" si="0"/>
        <v>94.6</v>
      </c>
    </row>
    <row r="27" spans="1:10" ht="18" customHeight="1" x14ac:dyDescent="0.3">
      <c r="A27" s="1"/>
      <c r="B27" s="90"/>
      <c r="C27" s="4" t="s">
        <v>87</v>
      </c>
      <c r="D27" s="11"/>
      <c r="E27" s="11"/>
      <c r="F27" s="11"/>
      <c r="G27" s="49" t="s">
        <v>90</v>
      </c>
      <c r="H27" s="91">
        <f t="shared" ref="H27:I27" si="7">H28</f>
        <v>1870.3000000000002</v>
      </c>
      <c r="I27" s="91">
        <f t="shared" si="7"/>
        <v>1770</v>
      </c>
      <c r="J27" s="186">
        <f t="shared" si="0"/>
        <v>94.6</v>
      </c>
    </row>
    <row r="28" spans="1:10" ht="49.5" customHeight="1" x14ac:dyDescent="0.3">
      <c r="A28" s="1"/>
      <c r="B28" s="24"/>
      <c r="C28" s="30" t="s">
        <v>87</v>
      </c>
      <c r="D28" s="30" t="s">
        <v>95</v>
      </c>
      <c r="E28" s="31"/>
      <c r="F28" s="31"/>
      <c r="G28" s="46" t="s">
        <v>124</v>
      </c>
      <c r="H28" s="92">
        <f t="shared" ref="H28:I28" si="8">H29</f>
        <v>1870.3000000000002</v>
      </c>
      <c r="I28" s="92">
        <f t="shared" si="8"/>
        <v>1770</v>
      </c>
      <c r="J28" s="42">
        <f t="shared" si="0"/>
        <v>94.6</v>
      </c>
    </row>
    <row r="29" spans="1:10" ht="39.6" x14ac:dyDescent="0.25">
      <c r="A29" s="1"/>
      <c r="B29" s="24"/>
      <c r="C29" s="16" t="s">
        <v>87</v>
      </c>
      <c r="D29" s="82" t="s">
        <v>95</v>
      </c>
      <c r="E29" s="79">
        <v>9990000000</v>
      </c>
      <c r="F29" s="16"/>
      <c r="G29" s="54" t="s">
        <v>29</v>
      </c>
      <c r="H29" s="39">
        <f>H30+H33</f>
        <v>1870.3000000000002</v>
      </c>
      <c r="I29" s="39">
        <f t="shared" ref="I29" si="9">I30+I33</f>
        <v>1770</v>
      </c>
      <c r="J29" s="93">
        <f t="shared" si="0"/>
        <v>94.6</v>
      </c>
    </row>
    <row r="30" spans="1:10" ht="26.4" x14ac:dyDescent="0.25">
      <c r="A30" s="1"/>
      <c r="B30" s="25"/>
      <c r="C30" s="16" t="s">
        <v>87</v>
      </c>
      <c r="D30" s="82" t="s">
        <v>95</v>
      </c>
      <c r="E30" s="79">
        <v>9990022300</v>
      </c>
      <c r="F30" s="21"/>
      <c r="G30" s="98" t="s">
        <v>194</v>
      </c>
      <c r="H30" s="41">
        <f>H31+H32</f>
        <v>1840.4</v>
      </c>
      <c r="I30" s="41">
        <f>I31+I32</f>
        <v>1740.1</v>
      </c>
      <c r="J30" s="93">
        <f t="shared" si="0"/>
        <v>94.6</v>
      </c>
    </row>
    <row r="31" spans="1:10" ht="39.6" x14ac:dyDescent="0.25">
      <c r="A31" s="1"/>
      <c r="B31" s="25"/>
      <c r="C31" s="16" t="s">
        <v>87</v>
      </c>
      <c r="D31" s="82" t="s">
        <v>95</v>
      </c>
      <c r="E31" s="79">
        <v>9990022300</v>
      </c>
      <c r="F31" s="16" t="s">
        <v>63</v>
      </c>
      <c r="G31" s="98" t="s">
        <v>78</v>
      </c>
      <c r="H31" s="39">
        <f>1668.4+164.2+16.3-109.5+109.5-12-17.8</f>
        <v>1819.1000000000001</v>
      </c>
      <c r="I31" s="39">
        <v>1718.8</v>
      </c>
      <c r="J31" s="93">
        <f t="shared" si="0"/>
        <v>94.5</v>
      </c>
    </row>
    <row r="32" spans="1:10" ht="39.6" x14ac:dyDescent="0.25">
      <c r="A32" s="1"/>
      <c r="B32" s="25"/>
      <c r="C32" s="16" t="s">
        <v>87</v>
      </c>
      <c r="D32" s="82" t="s">
        <v>95</v>
      </c>
      <c r="E32" s="79">
        <v>9990022300</v>
      </c>
      <c r="F32" s="82" t="s">
        <v>205</v>
      </c>
      <c r="G32" s="97" t="s">
        <v>206</v>
      </c>
      <c r="H32" s="39">
        <f>3.5+17.8</f>
        <v>21.3</v>
      </c>
      <c r="I32" s="39">
        <v>21.3</v>
      </c>
      <c r="J32" s="93">
        <f t="shared" si="0"/>
        <v>100</v>
      </c>
    </row>
    <row r="33" spans="1:10" s="174" customFormat="1" ht="79.2" x14ac:dyDescent="0.25">
      <c r="A33" s="1"/>
      <c r="B33" s="25"/>
      <c r="C33" s="16" t="s">
        <v>87</v>
      </c>
      <c r="D33" s="16" t="s">
        <v>95</v>
      </c>
      <c r="E33" s="173">
        <v>9990055492</v>
      </c>
      <c r="F33" s="82"/>
      <c r="G33" s="172" t="s">
        <v>714</v>
      </c>
      <c r="H33" s="41">
        <f>H34</f>
        <v>29.9</v>
      </c>
      <c r="I33" s="41">
        <f t="shared" ref="I33" si="10">I34</f>
        <v>29.9</v>
      </c>
      <c r="J33" s="93">
        <f t="shared" si="0"/>
        <v>100</v>
      </c>
    </row>
    <row r="34" spans="1:10" s="174" customFormat="1" ht="39.6" x14ac:dyDescent="0.25">
      <c r="A34" s="1"/>
      <c r="B34" s="25"/>
      <c r="C34" s="16" t="s">
        <v>87</v>
      </c>
      <c r="D34" s="16" t="s">
        <v>95</v>
      </c>
      <c r="E34" s="173">
        <v>9990055492</v>
      </c>
      <c r="F34" s="16" t="s">
        <v>63</v>
      </c>
      <c r="G34" s="172" t="s">
        <v>78</v>
      </c>
      <c r="H34" s="41">
        <v>29.9</v>
      </c>
      <c r="I34" s="41">
        <v>29.9</v>
      </c>
      <c r="J34" s="93">
        <f t="shared" si="0"/>
        <v>100</v>
      </c>
    </row>
    <row r="35" spans="1:10" s="8" customFormat="1" ht="52.2" x14ac:dyDescent="0.3">
      <c r="A35" s="3">
        <v>2</v>
      </c>
      <c r="B35" s="90">
        <v>937</v>
      </c>
      <c r="C35" s="13"/>
      <c r="D35" s="13"/>
      <c r="E35" s="13"/>
      <c r="F35" s="13"/>
      <c r="G35" s="14" t="s">
        <v>190</v>
      </c>
      <c r="H35" s="59">
        <f>H36+H94+H133+H238+H382+H415</f>
        <v>468152.20000000007</v>
      </c>
      <c r="I35" s="59">
        <f>I36+I94+I133+I238+I382+I415</f>
        <v>412900.89999999997</v>
      </c>
      <c r="J35" s="186">
        <f t="shared" si="0"/>
        <v>88.2</v>
      </c>
    </row>
    <row r="36" spans="1:10" ht="15.6" x14ac:dyDescent="0.3">
      <c r="A36" s="3"/>
      <c r="B36" s="90"/>
      <c r="C36" s="4" t="s">
        <v>87</v>
      </c>
      <c r="D36" s="11"/>
      <c r="E36" s="11"/>
      <c r="F36" s="11"/>
      <c r="G36" s="15" t="s">
        <v>90</v>
      </c>
      <c r="H36" s="91">
        <f>H37+H42+H55+H60</f>
        <v>124190.09999999998</v>
      </c>
      <c r="I36" s="91">
        <f t="shared" ref="I36" si="11">I37+I42+I55+I60</f>
        <v>118927.29999999999</v>
      </c>
      <c r="J36" s="186">
        <f t="shared" si="0"/>
        <v>95.8</v>
      </c>
    </row>
    <row r="37" spans="1:10" ht="53.4" x14ac:dyDescent="0.3">
      <c r="A37" s="3"/>
      <c r="B37" s="90"/>
      <c r="C37" s="30" t="s">
        <v>87</v>
      </c>
      <c r="D37" s="30" t="s">
        <v>88</v>
      </c>
      <c r="E37" s="30"/>
      <c r="F37" s="30"/>
      <c r="G37" s="46" t="s">
        <v>17</v>
      </c>
      <c r="H37" s="40">
        <f t="shared" ref="H37:I37" si="12">H38</f>
        <v>2367.1</v>
      </c>
      <c r="I37" s="40">
        <f t="shared" si="12"/>
        <v>2336.5</v>
      </c>
      <c r="J37" s="42">
        <f t="shared" si="0"/>
        <v>98.7</v>
      </c>
    </row>
    <row r="38" spans="1:10" ht="26.4" x14ac:dyDescent="0.3">
      <c r="A38" s="3"/>
      <c r="B38" s="90"/>
      <c r="C38" s="16" t="s">
        <v>87</v>
      </c>
      <c r="D38" s="16" t="s">
        <v>88</v>
      </c>
      <c r="E38" s="79">
        <v>9900000000</v>
      </c>
      <c r="F38" s="16"/>
      <c r="G38" s="55" t="s">
        <v>139</v>
      </c>
      <c r="H38" s="41">
        <f t="shared" ref="H38" si="13">H40</f>
        <v>2367.1</v>
      </c>
      <c r="I38" s="41">
        <f t="shared" ref="I38" si="14">I40</f>
        <v>2336.5</v>
      </c>
      <c r="J38" s="93">
        <f t="shared" si="0"/>
        <v>98.7</v>
      </c>
    </row>
    <row r="39" spans="1:10" ht="39.6" x14ac:dyDescent="0.3">
      <c r="A39" s="3"/>
      <c r="B39" s="90"/>
      <c r="C39" s="16" t="s">
        <v>87</v>
      </c>
      <c r="D39" s="16" t="s">
        <v>88</v>
      </c>
      <c r="E39" s="79">
        <v>9980000000</v>
      </c>
      <c r="F39" s="16"/>
      <c r="G39" s="54" t="s">
        <v>30</v>
      </c>
      <c r="H39" s="41">
        <f>H40</f>
        <v>2367.1</v>
      </c>
      <c r="I39" s="41">
        <f>I40</f>
        <v>2336.5</v>
      </c>
      <c r="J39" s="93">
        <f t="shared" si="0"/>
        <v>98.7</v>
      </c>
    </row>
    <row r="40" spans="1:10" ht="15.6" x14ac:dyDescent="0.3">
      <c r="A40" s="3"/>
      <c r="B40" s="90"/>
      <c r="C40" s="16" t="s">
        <v>87</v>
      </c>
      <c r="D40" s="16" t="s">
        <v>88</v>
      </c>
      <c r="E40" s="79">
        <v>9980022100</v>
      </c>
      <c r="F40" s="16"/>
      <c r="G40" s="98" t="s">
        <v>113</v>
      </c>
      <c r="H40" s="39">
        <f>H41</f>
        <v>2367.1</v>
      </c>
      <c r="I40" s="39">
        <f t="shared" ref="I40" si="15">I41</f>
        <v>2336.5</v>
      </c>
      <c r="J40" s="93">
        <f t="shared" si="0"/>
        <v>98.7</v>
      </c>
    </row>
    <row r="41" spans="1:10" ht="40.200000000000003" x14ac:dyDescent="0.3">
      <c r="A41" s="3"/>
      <c r="B41" s="90"/>
      <c r="C41" s="16" t="s">
        <v>87</v>
      </c>
      <c r="D41" s="16" t="s">
        <v>88</v>
      </c>
      <c r="E41" s="79">
        <v>9980022100</v>
      </c>
      <c r="F41" s="16" t="s">
        <v>63</v>
      </c>
      <c r="G41" s="98" t="s">
        <v>78</v>
      </c>
      <c r="H41" s="39">
        <f>1717-118.6+439.5+171.7+157.5-439.5-171.7+171.7+439.5</f>
        <v>2367.1</v>
      </c>
      <c r="I41" s="39">
        <v>2336.5</v>
      </c>
      <c r="J41" s="93">
        <f t="shared" si="0"/>
        <v>98.7</v>
      </c>
    </row>
    <row r="42" spans="1:10" s="26" customFormat="1" ht="79.8" x14ac:dyDescent="0.3">
      <c r="A42" s="23"/>
      <c r="B42" s="24"/>
      <c r="C42" s="30" t="s">
        <v>87</v>
      </c>
      <c r="D42" s="30" t="s">
        <v>93</v>
      </c>
      <c r="E42" s="30"/>
      <c r="F42" s="30"/>
      <c r="G42" s="46" t="s">
        <v>123</v>
      </c>
      <c r="H42" s="40">
        <f t="shared" ref="H42:I42" si="16">H43</f>
        <v>53234.19999999999</v>
      </c>
      <c r="I42" s="40">
        <f t="shared" si="16"/>
        <v>52313.1</v>
      </c>
      <c r="J42" s="42">
        <f t="shared" si="0"/>
        <v>98.3</v>
      </c>
    </row>
    <row r="43" spans="1:10" ht="26.4" x14ac:dyDescent="0.25">
      <c r="A43" s="1"/>
      <c r="B43" s="25"/>
      <c r="C43" s="16" t="s">
        <v>87</v>
      </c>
      <c r="D43" s="16" t="s">
        <v>93</v>
      </c>
      <c r="E43" s="79">
        <v>9900000000</v>
      </c>
      <c r="F43" s="16"/>
      <c r="G43" s="55" t="s">
        <v>139</v>
      </c>
      <c r="H43" s="39">
        <f>H44+H48</f>
        <v>53234.19999999999</v>
      </c>
      <c r="I43" s="39">
        <f t="shared" ref="I43" si="17">I44+I48</f>
        <v>52313.1</v>
      </c>
      <c r="J43" s="93">
        <f t="shared" si="0"/>
        <v>98.3</v>
      </c>
    </row>
    <row r="44" spans="1:10" ht="26.4" x14ac:dyDescent="0.25">
      <c r="A44" s="1"/>
      <c r="B44" s="25"/>
      <c r="C44" s="16" t="s">
        <v>87</v>
      </c>
      <c r="D44" s="16" t="s">
        <v>93</v>
      </c>
      <c r="E44" s="79">
        <v>9930000000</v>
      </c>
      <c r="F44" s="16"/>
      <c r="G44" s="22" t="s">
        <v>41</v>
      </c>
      <c r="H44" s="39">
        <f t="shared" ref="H44:I44" si="18">H45</f>
        <v>422.6</v>
      </c>
      <c r="I44" s="39">
        <f t="shared" si="18"/>
        <v>412.7</v>
      </c>
      <c r="J44" s="93">
        <f t="shared" si="0"/>
        <v>97.7</v>
      </c>
    </row>
    <row r="45" spans="1:10" ht="66" x14ac:dyDescent="0.25">
      <c r="A45" s="1"/>
      <c r="B45" s="25"/>
      <c r="C45" s="16" t="s">
        <v>87</v>
      </c>
      <c r="D45" s="16" t="s">
        <v>93</v>
      </c>
      <c r="E45" s="79">
        <v>9930010510</v>
      </c>
      <c r="F45" s="16"/>
      <c r="G45" s="22" t="s">
        <v>15</v>
      </c>
      <c r="H45" s="39">
        <f>H46+H47</f>
        <v>422.6</v>
      </c>
      <c r="I45" s="39">
        <f t="shared" ref="I45" si="19">I46+I47</f>
        <v>412.7</v>
      </c>
      <c r="J45" s="93">
        <f t="shared" si="0"/>
        <v>97.7</v>
      </c>
    </row>
    <row r="46" spans="1:10" ht="39.6" x14ac:dyDescent="0.25">
      <c r="A46" s="1"/>
      <c r="B46" s="25"/>
      <c r="C46" s="16" t="s">
        <v>87</v>
      </c>
      <c r="D46" s="16" t="s">
        <v>93</v>
      </c>
      <c r="E46" s="79">
        <v>9930010510</v>
      </c>
      <c r="F46" s="16" t="s">
        <v>63</v>
      </c>
      <c r="G46" s="101" t="s">
        <v>64</v>
      </c>
      <c r="H46" s="39">
        <v>397.3</v>
      </c>
      <c r="I46" s="39">
        <v>393.4</v>
      </c>
      <c r="J46" s="93">
        <f t="shared" si="0"/>
        <v>99</v>
      </c>
    </row>
    <row r="47" spans="1:10" ht="39.6" x14ac:dyDescent="0.25">
      <c r="A47" s="1"/>
      <c r="B47" s="25"/>
      <c r="C47" s="16" t="s">
        <v>87</v>
      </c>
      <c r="D47" s="16" t="s">
        <v>93</v>
      </c>
      <c r="E47" s="79">
        <v>9930010510</v>
      </c>
      <c r="F47" s="82" t="s">
        <v>205</v>
      </c>
      <c r="G47" s="97" t="s">
        <v>206</v>
      </c>
      <c r="H47" s="39">
        <v>25.3</v>
      </c>
      <c r="I47" s="39">
        <v>19.3</v>
      </c>
      <c r="J47" s="93">
        <f t="shared" si="0"/>
        <v>76.3</v>
      </c>
    </row>
    <row r="48" spans="1:10" ht="39.6" x14ac:dyDescent="0.25">
      <c r="A48" s="1"/>
      <c r="B48" s="25"/>
      <c r="C48" s="16" t="s">
        <v>87</v>
      </c>
      <c r="D48" s="16" t="s">
        <v>93</v>
      </c>
      <c r="E48" s="79">
        <v>9980000000</v>
      </c>
      <c r="F48" s="16"/>
      <c r="G48" s="54" t="s">
        <v>30</v>
      </c>
      <c r="H48" s="39">
        <f>H49+H53</f>
        <v>52811.599999999991</v>
      </c>
      <c r="I48" s="39">
        <f t="shared" ref="I48" si="20">I49+I53</f>
        <v>51900.4</v>
      </c>
      <c r="J48" s="93">
        <f t="shared" si="0"/>
        <v>98.3</v>
      </c>
    </row>
    <row r="49" spans="1:10" x14ac:dyDescent="0.25">
      <c r="A49" s="1"/>
      <c r="B49" s="25"/>
      <c r="C49" s="16" t="s">
        <v>87</v>
      </c>
      <c r="D49" s="16" t="s">
        <v>93</v>
      </c>
      <c r="E49" s="136">
        <v>9980022200</v>
      </c>
      <c r="F49" s="21"/>
      <c r="G49" s="22" t="s">
        <v>114</v>
      </c>
      <c r="H49" s="39">
        <f>SUM(H50:H52)</f>
        <v>51904.099999999991</v>
      </c>
      <c r="I49" s="39">
        <f>SUM(I50:I52)</f>
        <v>50992.9</v>
      </c>
      <c r="J49" s="93">
        <f t="shared" si="0"/>
        <v>98.2</v>
      </c>
    </row>
    <row r="50" spans="1:10" ht="39.6" x14ac:dyDescent="0.25">
      <c r="A50" s="1"/>
      <c r="B50" s="25"/>
      <c r="C50" s="16" t="s">
        <v>87</v>
      </c>
      <c r="D50" s="16" t="s">
        <v>93</v>
      </c>
      <c r="E50" s="136">
        <v>9980022200</v>
      </c>
      <c r="F50" s="16" t="s">
        <v>63</v>
      </c>
      <c r="G50" s="55" t="s">
        <v>64</v>
      </c>
      <c r="H50" s="39">
        <f>44902+375.4+4548.2-375.4+383-100-350-120-463.3+400</f>
        <v>49199.899999999994</v>
      </c>
      <c r="I50" s="39">
        <v>48733.3</v>
      </c>
      <c r="J50" s="93">
        <f t="shared" si="0"/>
        <v>99.1</v>
      </c>
    </row>
    <row r="51" spans="1:10" ht="39.6" x14ac:dyDescent="0.25">
      <c r="A51" s="1"/>
      <c r="B51" s="25"/>
      <c r="C51" s="16" t="s">
        <v>87</v>
      </c>
      <c r="D51" s="16" t="s">
        <v>93</v>
      </c>
      <c r="E51" s="136">
        <v>9980022200</v>
      </c>
      <c r="F51" s="82" t="s">
        <v>205</v>
      </c>
      <c r="G51" s="97" t="s">
        <v>206</v>
      </c>
      <c r="H51" s="39">
        <f>2929.4-90-80.4-70</f>
        <v>2689</v>
      </c>
      <c r="I51" s="39">
        <v>2259.6</v>
      </c>
      <c r="J51" s="93">
        <f t="shared" si="0"/>
        <v>84</v>
      </c>
    </row>
    <row r="52" spans="1:10" ht="26.4" x14ac:dyDescent="0.25">
      <c r="A52" s="1"/>
      <c r="B52" s="25"/>
      <c r="C52" s="16" t="s">
        <v>87</v>
      </c>
      <c r="D52" s="16" t="s">
        <v>93</v>
      </c>
      <c r="E52" s="136">
        <v>9980022200</v>
      </c>
      <c r="F52" s="82" t="s">
        <v>129</v>
      </c>
      <c r="G52" s="97" t="s">
        <v>130</v>
      </c>
      <c r="H52" s="41">
        <f>44.4-29.2</f>
        <v>15.2</v>
      </c>
      <c r="I52" s="41">
        <v>0</v>
      </c>
      <c r="J52" s="93">
        <f t="shared" si="0"/>
        <v>0</v>
      </c>
    </row>
    <row r="53" spans="1:10" s="174" customFormat="1" ht="79.2" x14ac:dyDescent="0.25">
      <c r="A53" s="1"/>
      <c r="B53" s="25"/>
      <c r="C53" s="16" t="s">
        <v>87</v>
      </c>
      <c r="D53" s="16" t="s">
        <v>93</v>
      </c>
      <c r="E53" s="173">
        <v>9980055492</v>
      </c>
      <c r="F53" s="82"/>
      <c r="G53" s="172" t="s">
        <v>714</v>
      </c>
      <c r="H53" s="41">
        <f>H54</f>
        <v>907.5</v>
      </c>
      <c r="I53" s="41">
        <f t="shared" ref="I53" si="21">I54</f>
        <v>907.5</v>
      </c>
      <c r="J53" s="93">
        <f t="shared" si="0"/>
        <v>100</v>
      </c>
    </row>
    <row r="54" spans="1:10" s="174" customFormat="1" ht="39.6" x14ac:dyDescent="0.25">
      <c r="A54" s="1"/>
      <c r="B54" s="25"/>
      <c r="C54" s="16" t="s">
        <v>87</v>
      </c>
      <c r="D54" s="16" t="s">
        <v>93</v>
      </c>
      <c r="E54" s="173">
        <v>9980055492</v>
      </c>
      <c r="F54" s="16" t="s">
        <v>63</v>
      </c>
      <c r="G54" s="172" t="s">
        <v>78</v>
      </c>
      <c r="H54" s="41">
        <v>907.5</v>
      </c>
      <c r="I54" s="41">
        <v>907.5</v>
      </c>
      <c r="J54" s="93">
        <f t="shared" si="0"/>
        <v>100</v>
      </c>
    </row>
    <row r="55" spans="1:10" ht="14.4" x14ac:dyDescent="0.3">
      <c r="A55" s="1"/>
      <c r="B55" s="25"/>
      <c r="C55" s="35" t="s">
        <v>87</v>
      </c>
      <c r="D55" s="35" t="s">
        <v>94</v>
      </c>
      <c r="E55" s="35"/>
      <c r="F55" s="35"/>
      <c r="G55" s="46" t="s">
        <v>282</v>
      </c>
      <c r="H55" s="42">
        <f t="shared" ref="H55:I55" si="22">SUM(H56)</f>
        <v>2.1</v>
      </c>
      <c r="I55" s="42">
        <f t="shared" si="22"/>
        <v>2.1</v>
      </c>
      <c r="J55" s="42">
        <f t="shared" si="0"/>
        <v>100</v>
      </c>
    </row>
    <row r="56" spans="1:10" ht="26.4" x14ac:dyDescent="0.25">
      <c r="A56" s="1"/>
      <c r="B56" s="25"/>
      <c r="C56" s="16" t="s">
        <v>87</v>
      </c>
      <c r="D56" s="82" t="s">
        <v>94</v>
      </c>
      <c r="E56" s="79">
        <v>9900000000</v>
      </c>
      <c r="F56" s="16"/>
      <c r="G56" s="55" t="s">
        <v>140</v>
      </c>
      <c r="H56" s="39">
        <f t="shared" ref="H56:I58" si="23">H57</f>
        <v>2.1</v>
      </c>
      <c r="I56" s="39">
        <f t="shared" si="23"/>
        <v>2.1</v>
      </c>
      <c r="J56" s="93">
        <f t="shared" si="0"/>
        <v>100</v>
      </c>
    </row>
    <row r="57" spans="1:10" ht="26.4" x14ac:dyDescent="0.25">
      <c r="A57" s="1"/>
      <c r="B57" s="25"/>
      <c r="C57" s="16" t="s">
        <v>87</v>
      </c>
      <c r="D57" s="82" t="s">
        <v>94</v>
      </c>
      <c r="E57" s="79">
        <v>9930000000</v>
      </c>
      <c r="F57" s="16"/>
      <c r="G57" s="22" t="s">
        <v>41</v>
      </c>
      <c r="H57" s="39">
        <f t="shared" si="23"/>
        <v>2.1</v>
      </c>
      <c r="I57" s="39">
        <f t="shared" si="23"/>
        <v>2.1</v>
      </c>
      <c r="J57" s="93">
        <f t="shared" si="0"/>
        <v>100</v>
      </c>
    </row>
    <row r="58" spans="1:10" ht="66" x14ac:dyDescent="0.25">
      <c r="A58" s="1"/>
      <c r="B58" s="25"/>
      <c r="C58" s="16" t="s">
        <v>87</v>
      </c>
      <c r="D58" s="82" t="s">
        <v>94</v>
      </c>
      <c r="E58" s="79">
        <v>9930051200</v>
      </c>
      <c r="F58" s="16"/>
      <c r="G58" s="54" t="s">
        <v>275</v>
      </c>
      <c r="H58" s="106">
        <f t="shared" si="23"/>
        <v>2.1</v>
      </c>
      <c r="I58" s="39">
        <f t="shared" si="23"/>
        <v>2.1</v>
      </c>
      <c r="J58" s="93">
        <f t="shared" si="0"/>
        <v>100</v>
      </c>
    </row>
    <row r="59" spans="1:10" ht="39.6" x14ac:dyDescent="0.25">
      <c r="A59" s="1"/>
      <c r="B59" s="25"/>
      <c r="C59" s="16" t="s">
        <v>87</v>
      </c>
      <c r="D59" s="82" t="s">
        <v>94</v>
      </c>
      <c r="E59" s="79">
        <v>9930051200</v>
      </c>
      <c r="F59" s="82" t="s">
        <v>205</v>
      </c>
      <c r="G59" s="97" t="s">
        <v>206</v>
      </c>
      <c r="H59" s="106">
        <v>2.1</v>
      </c>
      <c r="I59" s="106">
        <v>2.1</v>
      </c>
      <c r="J59" s="93">
        <f t="shared" si="0"/>
        <v>100</v>
      </c>
    </row>
    <row r="60" spans="1:10" s="26" customFormat="1" ht="17.25" customHeight="1" x14ac:dyDescent="0.3">
      <c r="A60" s="23"/>
      <c r="B60" s="24"/>
      <c r="C60" s="30" t="s">
        <v>87</v>
      </c>
      <c r="D60" s="30" t="s">
        <v>9</v>
      </c>
      <c r="E60" s="33"/>
      <c r="F60" s="33"/>
      <c r="G60" s="46" t="s">
        <v>96</v>
      </c>
      <c r="H60" s="40">
        <f>H61+H74</f>
        <v>68586.7</v>
      </c>
      <c r="I60" s="40">
        <f>I61+I74</f>
        <v>64275.6</v>
      </c>
      <c r="J60" s="42">
        <f t="shared" si="0"/>
        <v>93.7</v>
      </c>
    </row>
    <row r="61" spans="1:10" ht="92.4" x14ac:dyDescent="0.25">
      <c r="A61" s="1"/>
      <c r="B61" s="25"/>
      <c r="C61" s="16" t="s">
        <v>87</v>
      </c>
      <c r="D61" s="16" t="s">
        <v>9</v>
      </c>
      <c r="E61" s="73" t="s">
        <v>70</v>
      </c>
      <c r="F61" s="16"/>
      <c r="G61" s="140" t="s">
        <v>564</v>
      </c>
      <c r="H61" s="95">
        <f t="shared" ref="H61:I61" si="24">H62</f>
        <v>27463.200000000001</v>
      </c>
      <c r="I61" s="95">
        <f t="shared" si="24"/>
        <v>25085.599999999999</v>
      </c>
      <c r="J61" s="62">
        <f t="shared" si="0"/>
        <v>91.3</v>
      </c>
    </row>
    <row r="62" spans="1:10" ht="39.6" x14ac:dyDescent="0.25">
      <c r="A62" s="1"/>
      <c r="B62" s="25"/>
      <c r="C62" s="16" t="s">
        <v>87</v>
      </c>
      <c r="D62" s="16" t="s">
        <v>9</v>
      </c>
      <c r="E62" s="52" t="s">
        <v>71</v>
      </c>
      <c r="F62" s="16"/>
      <c r="G62" s="48" t="s">
        <v>152</v>
      </c>
      <c r="H62" s="92">
        <f>H63+H66</f>
        <v>27463.200000000001</v>
      </c>
      <c r="I62" s="92">
        <f t="shared" ref="I62" si="25">I63+I66</f>
        <v>25085.599999999999</v>
      </c>
      <c r="J62" s="58">
        <f t="shared" si="0"/>
        <v>91.3</v>
      </c>
    </row>
    <row r="63" spans="1:10" ht="39.6" x14ac:dyDescent="0.25">
      <c r="A63" s="1"/>
      <c r="B63" s="25"/>
      <c r="C63" s="16" t="s">
        <v>87</v>
      </c>
      <c r="D63" s="16" t="s">
        <v>9</v>
      </c>
      <c r="E63" s="21" t="s">
        <v>238</v>
      </c>
      <c r="F63" s="16"/>
      <c r="G63" s="98" t="s">
        <v>239</v>
      </c>
      <c r="H63" s="39">
        <f t="shared" ref="H63:I64" si="26">H64</f>
        <v>261</v>
      </c>
      <c r="I63" s="39">
        <f t="shared" si="26"/>
        <v>261</v>
      </c>
      <c r="J63" s="93">
        <f t="shared" si="0"/>
        <v>100</v>
      </c>
    </row>
    <row r="64" spans="1:10" ht="39.6" x14ac:dyDescent="0.25">
      <c r="A64" s="1"/>
      <c r="B64" s="25"/>
      <c r="C64" s="16" t="s">
        <v>87</v>
      </c>
      <c r="D64" s="16" t="s">
        <v>9</v>
      </c>
      <c r="E64" s="82" t="s">
        <v>452</v>
      </c>
      <c r="F64" s="16"/>
      <c r="G64" s="96" t="s">
        <v>153</v>
      </c>
      <c r="H64" s="41">
        <f t="shared" si="26"/>
        <v>261</v>
      </c>
      <c r="I64" s="41">
        <f t="shared" si="26"/>
        <v>261</v>
      </c>
      <c r="J64" s="93">
        <f t="shared" si="0"/>
        <v>100</v>
      </c>
    </row>
    <row r="65" spans="1:10" ht="39.6" x14ac:dyDescent="0.25">
      <c r="A65" s="1"/>
      <c r="B65" s="25"/>
      <c r="C65" s="16" t="s">
        <v>87</v>
      </c>
      <c r="D65" s="16" t="s">
        <v>9</v>
      </c>
      <c r="E65" s="82" t="s">
        <v>452</v>
      </c>
      <c r="F65" s="82" t="s">
        <v>205</v>
      </c>
      <c r="G65" s="97" t="s">
        <v>206</v>
      </c>
      <c r="H65" s="41">
        <f>250+40-29</f>
        <v>261</v>
      </c>
      <c r="I65" s="41">
        <v>261</v>
      </c>
      <c r="J65" s="93">
        <f t="shared" si="0"/>
        <v>100</v>
      </c>
    </row>
    <row r="66" spans="1:10" ht="66" x14ac:dyDescent="0.25">
      <c r="A66" s="1"/>
      <c r="B66" s="25"/>
      <c r="C66" s="16" t="s">
        <v>87</v>
      </c>
      <c r="D66" s="16" t="s">
        <v>9</v>
      </c>
      <c r="E66" s="21" t="s">
        <v>240</v>
      </c>
      <c r="F66" s="82"/>
      <c r="G66" s="98" t="s">
        <v>241</v>
      </c>
      <c r="H66" s="41">
        <f>H67+H69+H71</f>
        <v>27202.2</v>
      </c>
      <c r="I66" s="41">
        <f>I67+I69+I71</f>
        <v>24824.6</v>
      </c>
      <c r="J66" s="93">
        <f t="shared" si="0"/>
        <v>91.3</v>
      </c>
    </row>
    <row r="67" spans="1:10" ht="52.8" x14ac:dyDescent="0.25">
      <c r="A67" s="1"/>
      <c r="B67" s="25"/>
      <c r="C67" s="16" t="s">
        <v>87</v>
      </c>
      <c r="D67" s="16" t="s">
        <v>9</v>
      </c>
      <c r="E67" s="133" t="s">
        <v>453</v>
      </c>
      <c r="F67" s="16"/>
      <c r="G67" s="96" t="s">
        <v>154</v>
      </c>
      <c r="H67" s="41">
        <f>H68</f>
        <v>211</v>
      </c>
      <c r="I67" s="41">
        <f>I68</f>
        <v>211</v>
      </c>
      <c r="J67" s="93">
        <f t="shared" si="0"/>
        <v>100</v>
      </c>
    </row>
    <row r="68" spans="1:10" ht="39.6" x14ac:dyDescent="0.25">
      <c r="A68" s="1"/>
      <c r="B68" s="25"/>
      <c r="C68" s="16" t="s">
        <v>87</v>
      </c>
      <c r="D68" s="16" t="s">
        <v>9</v>
      </c>
      <c r="E68" s="133" t="s">
        <v>453</v>
      </c>
      <c r="F68" s="82" t="s">
        <v>205</v>
      </c>
      <c r="G68" s="97" t="s">
        <v>206</v>
      </c>
      <c r="H68" s="41">
        <f>100+29+42+40</f>
        <v>211</v>
      </c>
      <c r="I68" s="41">
        <v>211</v>
      </c>
      <c r="J68" s="93">
        <f t="shared" si="0"/>
        <v>100</v>
      </c>
    </row>
    <row r="69" spans="1:10" ht="79.2" x14ac:dyDescent="0.25">
      <c r="A69" s="1"/>
      <c r="B69" s="25"/>
      <c r="C69" s="16" t="s">
        <v>87</v>
      </c>
      <c r="D69" s="16" t="s">
        <v>9</v>
      </c>
      <c r="E69" s="133" t="s">
        <v>454</v>
      </c>
      <c r="F69" s="16"/>
      <c r="G69" s="96" t="s">
        <v>155</v>
      </c>
      <c r="H69" s="41">
        <f>H70</f>
        <v>324.8</v>
      </c>
      <c r="I69" s="41">
        <f>I70</f>
        <v>324.8</v>
      </c>
      <c r="J69" s="93">
        <f t="shared" si="0"/>
        <v>100</v>
      </c>
    </row>
    <row r="70" spans="1:10" ht="39.6" x14ac:dyDescent="0.25">
      <c r="A70" s="1"/>
      <c r="B70" s="25"/>
      <c r="C70" s="16" t="s">
        <v>87</v>
      </c>
      <c r="D70" s="16" t="s">
        <v>9</v>
      </c>
      <c r="E70" s="133" t="s">
        <v>454</v>
      </c>
      <c r="F70" s="82" t="s">
        <v>205</v>
      </c>
      <c r="G70" s="97" t="s">
        <v>206</v>
      </c>
      <c r="H70" s="41">
        <f>330-5.2</f>
        <v>324.8</v>
      </c>
      <c r="I70" s="41">
        <v>324.8</v>
      </c>
      <c r="J70" s="93">
        <f t="shared" si="0"/>
        <v>100</v>
      </c>
    </row>
    <row r="71" spans="1:10" ht="39.6" x14ac:dyDescent="0.25">
      <c r="A71" s="1"/>
      <c r="B71" s="25"/>
      <c r="C71" s="16" t="s">
        <v>87</v>
      </c>
      <c r="D71" s="16" t="s">
        <v>9</v>
      </c>
      <c r="E71" s="74">
        <v>310223174</v>
      </c>
      <c r="F71" s="16"/>
      <c r="G71" s="96" t="s">
        <v>156</v>
      </c>
      <c r="H71" s="41">
        <f>SUM(H72:H73)</f>
        <v>26666.400000000001</v>
      </c>
      <c r="I71" s="41">
        <f>SUM(I72:I73)</f>
        <v>24288.799999999999</v>
      </c>
      <c r="J71" s="93">
        <f t="shared" si="0"/>
        <v>91.1</v>
      </c>
    </row>
    <row r="72" spans="1:10" ht="39.6" x14ac:dyDescent="0.25">
      <c r="A72" s="1"/>
      <c r="B72" s="25"/>
      <c r="C72" s="16" t="s">
        <v>87</v>
      </c>
      <c r="D72" s="16" t="s">
        <v>9</v>
      </c>
      <c r="E72" s="74">
        <v>310223174</v>
      </c>
      <c r="F72" s="82" t="s">
        <v>205</v>
      </c>
      <c r="G72" s="97" t="s">
        <v>206</v>
      </c>
      <c r="H72" s="41">
        <f>9373.3+1497.8+15466.2+97.4+222.5-36.8-40</f>
        <v>26580.400000000001</v>
      </c>
      <c r="I72" s="41">
        <v>24202.799999999999</v>
      </c>
      <c r="J72" s="93">
        <f t="shared" si="0"/>
        <v>91.1</v>
      </c>
    </row>
    <row r="73" spans="1:10" ht="26.4" x14ac:dyDescent="0.25">
      <c r="A73" s="1"/>
      <c r="B73" s="25"/>
      <c r="C73" s="16" t="s">
        <v>87</v>
      </c>
      <c r="D73" s="16" t="s">
        <v>9</v>
      </c>
      <c r="E73" s="74">
        <v>310223174</v>
      </c>
      <c r="F73" s="82" t="s">
        <v>129</v>
      </c>
      <c r="G73" s="97" t="s">
        <v>130</v>
      </c>
      <c r="H73" s="41">
        <f>16.3+40.4+29.3</f>
        <v>86</v>
      </c>
      <c r="I73" s="41">
        <v>86</v>
      </c>
      <c r="J73" s="93">
        <f t="shared" si="0"/>
        <v>100</v>
      </c>
    </row>
    <row r="74" spans="1:10" ht="26.4" x14ac:dyDescent="0.25">
      <c r="A74" s="1"/>
      <c r="B74" s="25"/>
      <c r="C74" s="5" t="s">
        <v>87</v>
      </c>
      <c r="D74" s="5" t="s">
        <v>9</v>
      </c>
      <c r="E74" s="83">
        <v>9900000000</v>
      </c>
      <c r="F74" s="5"/>
      <c r="G74" s="84" t="s">
        <v>139</v>
      </c>
      <c r="H74" s="95">
        <f>H75+H79+H84</f>
        <v>41123.5</v>
      </c>
      <c r="I74" s="95">
        <f t="shared" ref="I74" si="27">I75+I79+I84</f>
        <v>39190</v>
      </c>
      <c r="J74" s="62">
        <f t="shared" si="0"/>
        <v>95.3</v>
      </c>
    </row>
    <row r="75" spans="1:10" ht="26.4" x14ac:dyDescent="0.25">
      <c r="A75" s="1"/>
      <c r="B75" s="25"/>
      <c r="C75" s="16" t="s">
        <v>87</v>
      </c>
      <c r="D75" s="16" t="s">
        <v>9</v>
      </c>
      <c r="E75" s="79">
        <v>9930000000</v>
      </c>
      <c r="F75" s="16"/>
      <c r="G75" s="22" t="s">
        <v>41</v>
      </c>
      <c r="H75" s="39">
        <f>H76</f>
        <v>239.6</v>
      </c>
      <c r="I75" s="39">
        <f>I76</f>
        <v>226.7</v>
      </c>
      <c r="J75" s="93">
        <f t="shared" si="0"/>
        <v>94.6</v>
      </c>
    </row>
    <row r="76" spans="1:10" ht="39.6" x14ac:dyDescent="0.25">
      <c r="A76" s="1"/>
      <c r="B76" s="25"/>
      <c r="C76" s="16" t="s">
        <v>87</v>
      </c>
      <c r="D76" s="16" t="s">
        <v>9</v>
      </c>
      <c r="E76" s="79">
        <v>9930010540</v>
      </c>
      <c r="F76" s="16"/>
      <c r="G76" s="22" t="s">
        <v>16</v>
      </c>
      <c r="H76" s="39">
        <f>H77+H78</f>
        <v>239.6</v>
      </c>
      <c r="I76" s="39">
        <f>I77+I78</f>
        <v>226.7</v>
      </c>
      <c r="J76" s="93">
        <f t="shared" si="0"/>
        <v>94.6</v>
      </c>
    </row>
    <row r="77" spans="1:10" ht="39.6" x14ac:dyDescent="0.25">
      <c r="A77" s="1"/>
      <c r="B77" s="25"/>
      <c r="C77" s="16" t="s">
        <v>87</v>
      </c>
      <c r="D77" s="16" t="s">
        <v>9</v>
      </c>
      <c r="E77" s="79">
        <v>9930010540</v>
      </c>
      <c r="F77" s="16" t="s">
        <v>63</v>
      </c>
      <c r="G77" s="101" t="s">
        <v>64</v>
      </c>
      <c r="H77" s="39">
        <v>217.7</v>
      </c>
      <c r="I77" s="39">
        <v>207</v>
      </c>
      <c r="J77" s="93">
        <f t="shared" si="0"/>
        <v>95.1</v>
      </c>
    </row>
    <row r="78" spans="1:10" ht="39.6" x14ac:dyDescent="0.25">
      <c r="A78" s="1"/>
      <c r="B78" s="25"/>
      <c r="C78" s="16" t="s">
        <v>87</v>
      </c>
      <c r="D78" s="16" t="s">
        <v>9</v>
      </c>
      <c r="E78" s="79">
        <v>9930010540</v>
      </c>
      <c r="F78" s="82" t="s">
        <v>205</v>
      </c>
      <c r="G78" s="97" t="s">
        <v>206</v>
      </c>
      <c r="H78" s="39">
        <v>21.9</v>
      </c>
      <c r="I78" s="39">
        <v>19.7</v>
      </c>
      <c r="J78" s="93">
        <f t="shared" ref="J78:J141" si="28">ROUND((I78/H78*100),1)</f>
        <v>90</v>
      </c>
    </row>
    <row r="79" spans="1:10" ht="39.6" x14ac:dyDescent="0.25">
      <c r="A79" s="1"/>
      <c r="B79" s="25"/>
      <c r="C79" s="16" t="s">
        <v>87</v>
      </c>
      <c r="D79" s="16" t="s">
        <v>9</v>
      </c>
      <c r="E79" s="16" t="s">
        <v>25</v>
      </c>
      <c r="F79" s="16"/>
      <c r="G79" s="98" t="s">
        <v>39</v>
      </c>
      <c r="H79" s="39">
        <f>H80</f>
        <v>4803.7</v>
      </c>
      <c r="I79" s="39">
        <f t="shared" ref="I79" si="29">I80</f>
        <v>4595.2</v>
      </c>
      <c r="J79" s="93">
        <f t="shared" si="28"/>
        <v>95.7</v>
      </c>
    </row>
    <row r="80" spans="1:10" ht="26.4" x14ac:dyDescent="0.25">
      <c r="A80" s="1"/>
      <c r="B80" s="25"/>
      <c r="C80" s="16" t="s">
        <v>87</v>
      </c>
      <c r="D80" s="16" t="s">
        <v>9</v>
      </c>
      <c r="E80" s="82" t="s">
        <v>527</v>
      </c>
      <c r="F80" s="16"/>
      <c r="G80" s="98" t="s">
        <v>40</v>
      </c>
      <c r="H80" s="39">
        <f>SUM(H81:H83)</f>
        <v>4803.7</v>
      </c>
      <c r="I80" s="39">
        <f>SUM(I81:I83)</f>
        <v>4595.2</v>
      </c>
      <c r="J80" s="93">
        <f t="shared" si="28"/>
        <v>95.7</v>
      </c>
    </row>
    <row r="81" spans="1:10" ht="39.6" x14ac:dyDescent="0.25">
      <c r="A81" s="1"/>
      <c r="B81" s="25"/>
      <c r="C81" s="16" t="s">
        <v>87</v>
      </c>
      <c r="D81" s="16" t="s">
        <v>9</v>
      </c>
      <c r="E81" s="82" t="s">
        <v>527</v>
      </c>
      <c r="F81" s="82" t="s">
        <v>205</v>
      </c>
      <c r="G81" s="97" t="s">
        <v>206</v>
      </c>
      <c r="H81" s="39">
        <f>242+70</f>
        <v>312</v>
      </c>
      <c r="I81" s="39">
        <v>240.3</v>
      </c>
      <c r="J81" s="93">
        <f t="shared" si="28"/>
        <v>77</v>
      </c>
    </row>
    <row r="82" spans="1:10" x14ac:dyDescent="0.25">
      <c r="A82" s="1"/>
      <c r="B82" s="25"/>
      <c r="C82" s="16" t="s">
        <v>87</v>
      </c>
      <c r="D82" s="16" t="s">
        <v>9</v>
      </c>
      <c r="E82" s="82" t="s">
        <v>527</v>
      </c>
      <c r="F82" s="16" t="s">
        <v>81</v>
      </c>
      <c r="G82" s="97" t="s">
        <v>82</v>
      </c>
      <c r="H82" s="39">
        <v>426</v>
      </c>
      <c r="I82" s="39">
        <v>306.2</v>
      </c>
      <c r="J82" s="93">
        <f t="shared" si="28"/>
        <v>71.900000000000006</v>
      </c>
    </row>
    <row r="83" spans="1:10" ht="26.4" x14ac:dyDescent="0.25">
      <c r="A83" s="1"/>
      <c r="B83" s="25"/>
      <c r="C83" s="16" t="s">
        <v>87</v>
      </c>
      <c r="D83" s="16" t="s">
        <v>9</v>
      </c>
      <c r="E83" s="82" t="s">
        <v>527</v>
      </c>
      <c r="F83" s="82" t="s">
        <v>129</v>
      </c>
      <c r="G83" s="97" t="s">
        <v>130</v>
      </c>
      <c r="H83" s="39">
        <f>602+893.7+210+90+100+350+1700+120</f>
        <v>4065.7</v>
      </c>
      <c r="I83" s="39">
        <v>4048.7</v>
      </c>
      <c r="J83" s="93">
        <f t="shared" si="28"/>
        <v>99.6</v>
      </c>
    </row>
    <row r="84" spans="1:10" ht="26.4" x14ac:dyDescent="0.25">
      <c r="A84" s="1"/>
      <c r="B84" s="25"/>
      <c r="C84" s="16" t="s">
        <v>87</v>
      </c>
      <c r="D84" s="16" t="s">
        <v>9</v>
      </c>
      <c r="E84" s="82" t="s">
        <v>188</v>
      </c>
      <c r="F84" s="16"/>
      <c r="G84" s="98" t="s">
        <v>189</v>
      </c>
      <c r="H84" s="39">
        <f>H85+H88+H92</f>
        <v>36080.199999999997</v>
      </c>
      <c r="I84" s="39">
        <f t="shared" ref="I84" si="30">I85+I88+I92</f>
        <v>34368.1</v>
      </c>
      <c r="J84" s="93">
        <f t="shared" si="28"/>
        <v>95.3</v>
      </c>
    </row>
    <row r="85" spans="1:10" ht="39.6" x14ac:dyDescent="0.25">
      <c r="A85" s="1"/>
      <c r="B85" s="25"/>
      <c r="C85" s="16" t="s">
        <v>87</v>
      </c>
      <c r="D85" s="16" t="s">
        <v>9</v>
      </c>
      <c r="E85" s="21" t="s">
        <v>529</v>
      </c>
      <c r="F85" s="47"/>
      <c r="G85" s="54" t="s">
        <v>278</v>
      </c>
      <c r="H85" s="41">
        <f>SUM(H86:H87)</f>
        <v>9986.7999999999993</v>
      </c>
      <c r="I85" s="41">
        <f>SUM(I86:I87)</f>
        <v>9981.3000000000011</v>
      </c>
      <c r="J85" s="93">
        <f t="shared" si="28"/>
        <v>99.9</v>
      </c>
    </row>
    <row r="86" spans="1:10" ht="26.4" x14ac:dyDescent="0.25">
      <c r="A86" s="1"/>
      <c r="B86" s="25"/>
      <c r="C86" s="16" t="s">
        <v>87</v>
      </c>
      <c r="D86" s="16" t="s">
        <v>9</v>
      </c>
      <c r="E86" s="21" t="s">
        <v>529</v>
      </c>
      <c r="F86" s="16" t="s">
        <v>65</v>
      </c>
      <c r="G86" s="101" t="s">
        <v>128</v>
      </c>
      <c r="H86" s="39">
        <f>9107.9+115.8</f>
        <v>9223.6999999999989</v>
      </c>
      <c r="I86" s="41">
        <v>9223.7000000000007</v>
      </c>
      <c r="J86" s="93">
        <f t="shared" si="28"/>
        <v>100</v>
      </c>
    </row>
    <row r="87" spans="1:10" ht="39.6" x14ac:dyDescent="0.25">
      <c r="A87" s="1"/>
      <c r="B87" s="25"/>
      <c r="C87" s="16" t="s">
        <v>87</v>
      </c>
      <c r="D87" s="16" t="s">
        <v>9</v>
      </c>
      <c r="E87" s="21" t="s">
        <v>529</v>
      </c>
      <c r="F87" s="82" t="s">
        <v>205</v>
      </c>
      <c r="G87" s="97" t="s">
        <v>206</v>
      </c>
      <c r="H87" s="41">
        <v>763.1</v>
      </c>
      <c r="I87" s="41">
        <v>757.6</v>
      </c>
      <c r="J87" s="93">
        <f t="shared" si="28"/>
        <v>99.3</v>
      </c>
    </row>
    <row r="88" spans="1:10" ht="55.5" customHeight="1" x14ac:dyDescent="0.25">
      <c r="A88" s="1"/>
      <c r="B88" s="25"/>
      <c r="C88" s="16" t="s">
        <v>87</v>
      </c>
      <c r="D88" s="16" t="s">
        <v>9</v>
      </c>
      <c r="E88" s="21" t="s">
        <v>531</v>
      </c>
      <c r="F88" s="47"/>
      <c r="G88" s="54" t="s">
        <v>530</v>
      </c>
      <c r="H88" s="41">
        <f>SUM(H89:H91)</f>
        <v>25838.999999999996</v>
      </c>
      <c r="I88" s="41">
        <f>SUM(I89:I91)</f>
        <v>24132.399999999998</v>
      </c>
      <c r="J88" s="93">
        <f t="shared" si="28"/>
        <v>93.4</v>
      </c>
    </row>
    <row r="89" spans="1:10" ht="26.4" x14ac:dyDescent="0.25">
      <c r="A89" s="1"/>
      <c r="B89" s="25"/>
      <c r="C89" s="16" t="s">
        <v>87</v>
      </c>
      <c r="D89" s="16" t="s">
        <v>9</v>
      </c>
      <c r="E89" s="21" t="s">
        <v>531</v>
      </c>
      <c r="F89" s="16" t="s">
        <v>65</v>
      </c>
      <c r="G89" s="101" t="s">
        <v>128</v>
      </c>
      <c r="H89" s="41">
        <f>9754.4+975.4-235</f>
        <v>10494.8</v>
      </c>
      <c r="I89" s="41">
        <v>10438.799999999999</v>
      </c>
      <c r="J89" s="93">
        <f t="shared" si="28"/>
        <v>99.5</v>
      </c>
    </row>
    <row r="90" spans="1:10" ht="39.6" x14ac:dyDescent="0.25">
      <c r="A90" s="1"/>
      <c r="B90" s="25"/>
      <c r="C90" s="16" t="s">
        <v>87</v>
      </c>
      <c r="D90" s="16" t="s">
        <v>9</v>
      </c>
      <c r="E90" s="21" t="s">
        <v>531</v>
      </c>
      <c r="F90" s="82" t="s">
        <v>205</v>
      </c>
      <c r="G90" s="97" t="s">
        <v>206</v>
      </c>
      <c r="H90" s="41">
        <v>15223.4</v>
      </c>
      <c r="I90" s="41">
        <v>13619.9</v>
      </c>
      <c r="J90" s="93">
        <f t="shared" si="28"/>
        <v>89.5</v>
      </c>
    </row>
    <row r="91" spans="1:10" ht="26.4" x14ac:dyDescent="0.25">
      <c r="A91" s="1"/>
      <c r="B91" s="25"/>
      <c r="C91" s="16" t="s">
        <v>87</v>
      </c>
      <c r="D91" s="16" t="s">
        <v>9</v>
      </c>
      <c r="E91" s="21" t="s">
        <v>531</v>
      </c>
      <c r="F91" s="82" t="s">
        <v>129</v>
      </c>
      <c r="G91" s="97" t="s">
        <v>130</v>
      </c>
      <c r="H91" s="106">
        <v>120.8</v>
      </c>
      <c r="I91" s="106">
        <v>73.7</v>
      </c>
      <c r="J91" s="93">
        <f t="shared" si="28"/>
        <v>61</v>
      </c>
    </row>
    <row r="92" spans="1:10" s="174" customFormat="1" ht="79.2" x14ac:dyDescent="0.25">
      <c r="A92" s="1"/>
      <c r="B92" s="25"/>
      <c r="C92" s="16" t="s">
        <v>87</v>
      </c>
      <c r="D92" s="16" t="s">
        <v>9</v>
      </c>
      <c r="E92" s="21" t="s">
        <v>715</v>
      </c>
      <c r="F92" s="82"/>
      <c r="G92" s="172" t="s">
        <v>714</v>
      </c>
      <c r="H92" s="106">
        <f>H93</f>
        <v>254.4</v>
      </c>
      <c r="I92" s="106">
        <f t="shared" ref="I92" si="31">I93</f>
        <v>254.4</v>
      </c>
      <c r="J92" s="93">
        <f t="shared" si="28"/>
        <v>100</v>
      </c>
    </row>
    <row r="93" spans="1:10" s="174" customFormat="1" ht="26.4" x14ac:dyDescent="0.25">
      <c r="A93" s="1"/>
      <c r="B93" s="25"/>
      <c r="C93" s="16" t="s">
        <v>87</v>
      </c>
      <c r="D93" s="16" t="s">
        <v>9</v>
      </c>
      <c r="E93" s="21" t="s">
        <v>715</v>
      </c>
      <c r="F93" s="16" t="s">
        <v>65</v>
      </c>
      <c r="G93" s="101" t="s">
        <v>128</v>
      </c>
      <c r="H93" s="106">
        <v>254.4</v>
      </c>
      <c r="I93" s="106">
        <v>254.4</v>
      </c>
      <c r="J93" s="93">
        <f t="shared" si="28"/>
        <v>100</v>
      </c>
    </row>
    <row r="94" spans="1:10" ht="42" x14ac:dyDescent="0.3">
      <c r="A94" s="3"/>
      <c r="B94" s="90"/>
      <c r="C94" s="4" t="s">
        <v>92</v>
      </c>
      <c r="D94" s="3"/>
      <c r="E94" s="3"/>
      <c r="F94" s="3"/>
      <c r="G94" s="49" t="s">
        <v>97</v>
      </c>
      <c r="H94" s="91">
        <f>H95+H101</f>
        <v>9608.1999999999989</v>
      </c>
      <c r="I94" s="91">
        <f>I95+I101</f>
        <v>9079</v>
      </c>
      <c r="J94" s="186">
        <f t="shared" si="28"/>
        <v>94.5</v>
      </c>
    </row>
    <row r="95" spans="1:10" ht="15.6" x14ac:dyDescent="0.3">
      <c r="A95" s="3"/>
      <c r="B95" s="90"/>
      <c r="C95" s="28" t="s">
        <v>92</v>
      </c>
      <c r="D95" s="28" t="s">
        <v>93</v>
      </c>
      <c r="E95" s="28"/>
      <c r="F95" s="34"/>
      <c r="G95" s="46" t="s">
        <v>18</v>
      </c>
      <c r="H95" s="40">
        <f t="shared" ref="H95" si="32">H98</f>
        <v>1202</v>
      </c>
      <c r="I95" s="40">
        <f t="shared" ref="I95" si="33">I98</f>
        <v>1202</v>
      </c>
      <c r="J95" s="42">
        <f t="shared" si="28"/>
        <v>100</v>
      </c>
    </row>
    <row r="96" spans="1:10" ht="26.4" x14ac:dyDescent="0.3">
      <c r="A96" s="3"/>
      <c r="B96" s="90"/>
      <c r="C96" s="16" t="s">
        <v>92</v>
      </c>
      <c r="D96" s="16" t="s">
        <v>93</v>
      </c>
      <c r="E96" s="79">
        <v>9900000000</v>
      </c>
      <c r="F96" s="34"/>
      <c r="G96" s="55" t="s">
        <v>139</v>
      </c>
      <c r="H96" s="41">
        <f t="shared" ref="H96:I97" si="34">H97</f>
        <v>1202</v>
      </c>
      <c r="I96" s="41">
        <f t="shared" si="34"/>
        <v>1202</v>
      </c>
      <c r="J96" s="93">
        <f t="shared" si="28"/>
        <v>100</v>
      </c>
    </row>
    <row r="97" spans="1:10" ht="27" x14ac:dyDescent="0.3">
      <c r="A97" s="3"/>
      <c r="B97" s="90"/>
      <c r="C97" s="16" t="s">
        <v>92</v>
      </c>
      <c r="D97" s="16" t="s">
        <v>93</v>
      </c>
      <c r="E97" s="79">
        <v>9930000000</v>
      </c>
      <c r="F97" s="16"/>
      <c r="G97" s="22" t="s">
        <v>41</v>
      </c>
      <c r="H97" s="41">
        <f t="shared" si="34"/>
        <v>1202</v>
      </c>
      <c r="I97" s="41">
        <f t="shared" si="34"/>
        <v>1202</v>
      </c>
      <c r="J97" s="93">
        <f t="shared" si="28"/>
        <v>100</v>
      </c>
    </row>
    <row r="98" spans="1:10" ht="53.4" x14ac:dyDescent="0.3">
      <c r="A98" s="3"/>
      <c r="B98" s="90"/>
      <c r="C98" s="16" t="s">
        <v>92</v>
      </c>
      <c r="D98" s="16" t="s">
        <v>93</v>
      </c>
      <c r="E98" s="79">
        <v>9930059302</v>
      </c>
      <c r="F98" s="16"/>
      <c r="G98" s="98" t="s">
        <v>360</v>
      </c>
      <c r="H98" s="39">
        <f t="shared" ref="H98" si="35">SUM(H99:H100)</f>
        <v>1202</v>
      </c>
      <c r="I98" s="39">
        <f t="shared" ref="I98" si="36">SUM(I99:I100)</f>
        <v>1202</v>
      </c>
      <c r="J98" s="93">
        <f t="shared" si="28"/>
        <v>100</v>
      </c>
    </row>
    <row r="99" spans="1:10" ht="39.6" x14ac:dyDescent="0.3">
      <c r="A99" s="3"/>
      <c r="B99" s="90"/>
      <c r="C99" s="16" t="s">
        <v>92</v>
      </c>
      <c r="D99" s="16" t="s">
        <v>93</v>
      </c>
      <c r="E99" s="79">
        <v>9930059302</v>
      </c>
      <c r="F99" s="16" t="s">
        <v>63</v>
      </c>
      <c r="G99" s="55" t="s">
        <v>64</v>
      </c>
      <c r="H99" s="39">
        <f>1136.9+3</f>
        <v>1139.9000000000001</v>
      </c>
      <c r="I99" s="39">
        <v>1139.9000000000001</v>
      </c>
      <c r="J99" s="93">
        <f t="shared" si="28"/>
        <v>100</v>
      </c>
    </row>
    <row r="100" spans="1:10" ht="39.6" x14ac:dyDescent="0.3">
      <c r="A100" s="3"/>
      <c r="B100" s="90"/>
      <c r="C100" s="16" t="s">
        <v>92</v>
      </c>
      <c r="D100" s="16" t="s">
        <v>93</v>
      </c>
      <c r="E100" s="79">
        <v>9930059302</v>
      </c>
      <c r="F100" s="82" t="s">
        <v>205</v>
      </c>
      <c r="G100" s="97" t="s">
        <v>206</v>
      </c>
      <c r="H100" s="39">
        <f>65.1-3</f>
        <v>62.099999999999994</v>
      </c>
      <c r="I100" s="39">
        <v>62.1</v>
      </c>
      <c r="J100" s="93">
        <f t="shared" si="28"/>
        <v>100</v>
      </c>
    </row>
    <row r="101" spans="1:10" ht="53.4" x14ac:dyDescent="0.3">
      <c r="A101" s="3"/>
      <c r="B101" s="90"/>
      <c r="C101" s="28" t="s">
        <v>92</v>
      </c>
      <c r="D101" s="28" t="s">
        <v>109</v>
      </c>
      <c r="E101" s="28"/>
      <c r="F101" s="34"/>
      <c r="G101" s="46" t="s">
        <v>125</v>
      </c>
      <c r="H101" s="40">
        <f>H102+H126</f>
        <v>8406.1999999999989</v>
      </c>
      <c r="I101" s="40">
        <f>I102+I126</f>
        <v>7877</v>
      </c>
      <c r="J101" s="42">
        <f t="shared" si="28"/>
        <v>93.7</v>
      </c>
    </row>
    <row r="102" spans="1:10" ht="93" x14ac:dyDescent="0.3">
      <c r="A102" s="3"/>
      <c r="B102" s="90"/>
      <c r="C102" s="21" t="s">
        <v>92</v>
      </c>
      <c r="D102" s="21" t="s">
        <v>109</v>
      </c>
      <c r="E102" s="73" t="s">
        <v>51</v>
      </c>
      <c r="F102" s="16"/>
      <c r="G102" s="64" t="s">
        <v>570</v>
      </c>
      <c r="H102" s="59">
        <f>H103+H109+H114+H120</f>
        <v>2334.7999999999997</v>
      </c>
      <c r="I102" s="59">
        <f t="shared" ref="I102" si="37">I103+I109+I114+I120</f>
        <v>2107.4</v>
      </c>
      <c r="J102" s="62">
        <f t="shared" si="28"/>
        <v>90.3</v>
      </c>
    </row>
    <row r="103" spans="1:10" ht="54.75" customHeight="1" x14ac:dyDescent="0.3">
      <c r="A103" s="3"/>
      <c r="B103" s="90"/>
      <c r="C103" s="21" t="s">
        <v>92</v>
      </c>
      <c r="D103" s="21" t="s">
        <v>109</v>
      </c>
      <c r="E103" s="52" t="s">
        <v>52</v>
      </c>
      <c r="F103" s="16"/>
      <c r="G103" s="48" t="s">
        <v>197</v>
      </c>
      <c r="H103" s="92">
        <f>H105+H107</f>
        <v>337.4</v>
      </c>
      <c r="I103" s="92">
        <f t="shared" ref="I103" si="38">I105+I107</f>
        <v>334.8</v>
      </c>
      <c r="J103" s="58">
        <f t="shared" si="28"/>
        <v>99.2</v>
      </c>
    </row>
    <row r="104" spans="1:10" ht="66.599999999999994" x14ac:dyDescent="0.3">
      <c r="A104" s="3"/>
      <c r="B104" s="90"/>
      <c r="C104" s="21" t="s">
        <v>92</v>
      </c>
      <c r="D104" s="21" t="s">
        <v>109</v>
      </c>
      <c r="E104" s="21" t="s">
        <v>212</v>
      </c>
      <c r="F104" s="16"/>
      <c r="G104" s="98" t="s">
        <v>286</v>
      </c>
      <c r="H104" s="39">
        <f>H105+H107</f>
        <v>337.4</v>
      </c>
      <c r="I104" s="39">
        <f t="shared" ref="I104" si="39">I105+I107</f>
        <v>334.8</v>
      </c>
      <c r="J104" s="93">
        <f t="shared" si="28"/>
        <v>99.2</v>
      </c>
    </row>
    <row r="105" spans="1:10" ht="40.200000000000003" x14ac:dyDescent="0.3">
      <c r="A105" s="3"/>
      <c r="B105" s="90"/>
      <c r="C105" s="21" t="s">
        <v>92</v>
      </c>
      <c r="D105" s="21" t="s">
        <v>109</v>
      </c>
      <c r="E105" s="74">
        <v>1110123305</v>
      </c>
      <c r="F105" s="16"/>
      <c r="G105" s="98" t="s">
        <v>211</v>
      </c>
      <c r="H105" s="39">
        <f>H106</f>
        <v>309.7</v>
      </c>
      <c r="I105" s="39">
        <f>I106</f>
        <v>309.7</v>
      </c>
      <c r="J105" s="93">
        <f t="shared" si="28"/>
        <v>100</v>
      </c>
    </row>
    <row r="106" spans="1:10" ht="39.6" x14ac:dyDescent="0.3">
      <c r="A106" s="3"/>
      <c r="B106" s="90"/>
      <c r="C106" s="21" t="s">
        <v>92</v>
      </c>
      <c r="D106" s="21" t="s">
        <v>109</v>
      </c>
      <c r="E106" s="74">
        <v>1110123305</v>
      </c>
      <c r="F106" s="82" t="s">
        <v>205</v>
      </c>
      <c r="G106" s="97" t="s">
        <v>206</v>
      </c>
      <c r="H106" s="39">
        <f>297.4+12.3</f>
        <v>309.7</v>
      </c>
      <c r="I106" s="39">
        <v>309.7</v>
      </c>
      <c r="J106" s="93">
        <f t="shared" si="28"/>
        <v>100</v>
      </c>
    </row>
    <row r="107" spans="1:10" ht="53.4" x14ac:dyDescent="0.3">
      <c r="A107" s="3"/>
      <c r="B107" s="90"/>
      <c r="C107" s="21" t="s">
        <v>92</v>
      </c>
      <c r="D107" s="21" t="s">
        <v>109</v>
      </c>
      <c r="E107" s="74">
        <v>1110123310</v>
      </c>
      <c r="F107" s="16"/>
      <c r="G107" s="98" t="s">
        <v>199</v>
      </c>
      <c r="H107" s="41">
        <f>H108</f>
        <v>27.7</v>
      </c>
      <c r="I107" s="41">
        <f>I108</f>
        <v>25.1</v>
      </c>
      <c r="J107" s="93">
        <f t="shared" si="28"/>
        <v>90.6</v>
      </c>
    </row>
    <row r="108" spans="1:10" ht="39.6" x14ac:dyDescent="0.3">
      <c r="A108" s="3"/>
      <c r="B108" s="90"/>
      <c r="C108" s="21" t="s">
        <v>92</v>
      </c>
      <c r="D108" s="21" t="s">
        <v>109</v>
      </c>
      <c r="E108" s="74">
        <v>1110123310</v>
      </c>
      <c r="F108" s="82" t="s">
        <v>205</v>
      </c>
      <c r="G108" s="97" t="s">
        <v>206</v>
      </c>
      <c r="H108" s="41">
        <f>40-12.3</f>
        <v>27.7</v>
      </c>
      <c r="I108" s="41">
        <v>25.1</v>
      </c>
      <c r="J108" s="93">
        <f t="shared" si="28"/>
        <v>90.6</v>
      </c>
    </row>
    <row r="109" spans="1:10" ht="40.200000000000003" x14ac:dyDescent="0.3">
      <c r="A109" s="3"/>
      <c r="B109" s="90"/>
      <c r="C109" s="21" t="s">
        <v>92</v>
      </c>
      <c r="D109" s="21" t="s">
        <v>109</v>
      </c>
      <c r="E109" s="52" t="s">
        <v>53</v>
      </c>
      <c r="F109" s="82"/>
      <c r="G109" s="48" t="s">
        <v>193</v>
      </c>
      <c r="H109" s="41">
        <f t="shared" ref="H109:I110" si="40">H110</f>
        <v>1972.3999999999999</v>
      </c>
      <c r="I109" s="41">
        <f t="shared" si="40"/>
        <v>1747.6999999999998</v>
      </c>
      <c r="J109" s="93">
        <f t="shared" si="28"/>
        <v>88.6</v>
      </c>
    </row>
    <row r="110" spans="1:10" ht="53.4" x14ac:dyDescent="0.3">
      <c r="A110" s="3"/>
      <c r="B110" s="90"/>
      <c r="C110" s="21" t="s">
        <v>92</v>
      </c>
      <c r="D110" s="21" t="s">
        <v>109</v>
      </c>
      <c r="E110" s="21" t="s">
        <v>213</v>
      </c>
      <c r="F110" s="82"/>
      <c r="G110" s="98" t="s">
        <v>297</v>
      </c>
      <c r="H110" s="41">
        <f t="shared" si="40"/>
        <v>1972.3999999999999</v>
      </c>
      <c r="I110" s="41">
        <f t="shared" si="40"/>
        <v>1747.6999999999998</v>
      </c>
      <c r="J110" s="93">
        <f t="shared" si="28"/>
        <v>88.6</v>
      </c>
    </row>
    <row r="111" spans="1:10" ht="39.6" x14ac:dyDescent="0.3">
      <c r="A111" s="3"/>
      <c r="B111" s="90"/>
      <c r="C111" s="21" t="s">
        <v>92</v>
      </c>
      <c r="D111" s="21" t="s">
        <v>109</v>
      </c>
      <c r="E111" s="74">
        <v>1120123315</v>
      </c>
      <c r="F111" s="16"/>
      <c r="G111" s="97" t="s">
        <v>506</v>
      </c>
      <c r="H111" s="41">
        <f>SUM(H112:H113)</f>
        <v>1972.3999999999999</v>
      </c>
      <c r="I111" s="41">
        <f>SUM(I112:I113)</f>
        <v>1747.6999999999998</v>
      </c>
      <c r="J111" s="93">
        <f t="shared" si="28"/>
        <v>88.6</v>
      </c>
    </row>
    <row r="112" spans="1:10" ht="26.4" x14ac:dyDescent="0.3">
      <c r="A112" s="3"/>
      <c r="B112" s="90"/>
      <c r="C112" s="21" t="s">
        <v>92</v>
      </c>
      <c r="D112" s="21" t="s">
        <v>109</v>
      </c>
      <c r="E112" s="74">
        <v>1120123315</v>
      </c>
      <c r="F112" s="82" t="s">
        <v>65</v>
      </c>
      <c r="G112" s="55" t="s">
        <v>128</v>
      </c>
      <c r="H112" s="41">
        <v>118.1</v>
      </c>
      <c r="I112" s="41">
        <v>118.1</v>
      </c>
      <c r="J112" s="93">
        <f t="shared" si="28"/>
        <v>100</v>
      </c>
    </row>
    <row r="113" spans="1:10" ht="39.6" x14ac:dyDescent="0.3">
      <c r="A113" s="3"/>
      <c r="B113" s="90"/>
      <c r="C113" s="21" t="s">
        <v>92</v>
      </c>
      <c r="D113" s="21" t="s">
        <v>109</v>
      </c>
      <c r="E113" s="74">
        <v>1120123315</v>
      </c>
      <c r="F113" s="82" t="s">
        <v>205</v>
      </c>
      <c r="G113" s="97" t="s">
        <v>206</v>
      </c>
      <c r="H113" s="41">
        <v>1854.3</v>
      </c>
      <c r="I113" s="41">
        <v>1629.6</v>
      </c>
      <c r="J113" s="93">
        <f t="shared" si="28"/>
        <v>87.9</v>
      </c>
    </row>
    <row r="114" spans="1:10" ht="53.4" x14ac:dyDescent="0.3">
      <c r="A114" s="3"/>
      <c r="B114" s="90"/>
      <c r="C114" s="21" t="s">
        <v>92</v>
      </c>
      <c r="D114" s="21" t="s">
        <v>109</v>
      </c>
      <c r="E114" s="52" t="s">
        <v>54</v>
      </c>
      <c r="F114" s="16"/>
      <c r="G114" s="48" t="s">
        <v>246</v>
      </c>
      <c r="H114" s="92">
        <f>H115</f>
        <v>10</v>
      </c>
      <c r="I114" s="92">
        <f>I115</f>
        <v>10</v>
      </c>
      <c r="J114" s="58">
        <f t="shared" si="28"/>
        <v>100</v>
      </c>
    </row>
    <row r="115" spans="1:10" ht="67.5" customHeight="1" x14ac:dyDescent="0.3">
      <c r="A115" s="3"/>
      <c r="B115" s="90"/>
      <c r="C115" s="21" t="s">
        <v>92</v>
      </c>
      <c r="D115" s="21" t="s">
        <v>109</v>
      </c>
      <c r="E115" s="21" t="s">
        <v>214</v>
      </c>
      <c r="F115" s="16"/>
      <c r="G115" s="98" t="s">
        <v>306</v>
      </c>
      <c r="H115" s="39">
        <f>H116+H118</f>
        <v>10</v>
      </c>
      <c r="I115" s="39">
        <f>I116+I118</f>
        <v>10</v>
      </c>
      <c r="J115" s="93">
        <f t="shared" si="28"/>
        <v>100</v>
      </c>
    </row>
    <row r="116" spans="1:10" ht="26.4" x14ac:dyDescent="0.3">
      <c r="A116" s="3"/>
      <c r="B116" s="90"/>
      <c r="C116" s="21" t="s">
        <v>92</v>
      </c>
      <c r="D116" s="21" t="s">
        <v>109</v>
      </c>
      <c r="E116" s="74">
        <v>1130123320</v>
      </c>
      <c r="F116" s="16"/>
      <c r="G116" s="97" t="s">
        <v>247</v>
      </c>
      <c r="H116" s="41">
        <f>H117</f>
        <v>6.8</v>
      </c>
      <c r="I116" s="41">
        <f>I117</f>
        <v>6.8</v>
      </c>
      <c r="J116" s="93">
        <f t="shared" si="28"/>
        <v>100</v>
      </c>
    </row>
    <row r="117" spans="1:10" ht="39.6" x14ac:dyDescent="0.3">
      <c r="A117" s="3"/>
      <c r="B117" s="90"/>
      <c r="C117" s="21" t="s">
        <v>92</v>
      </c>
      <c r="D117" s="21" t="s">
        <v>109</v>
      </c>
      <c r="E117" s="74">
        <v>1130123320</v>
      </c>
      <c r="F117" s="82" t="s">
        <v>205</v>
      </c>
      <c r="G117" s="97" t="s">
        <v>206</v>
      </c>
      <c r="H117" s="41">
        <f>8-1.2</f>
        <v>6.8</v>
      </c>
      <c r="I117" s="41">
        <v>6.8</v>
      </c>
      <c r="J117" s="93">
        <f t="shared" si="28"/>
        <v>100</v>
      </c>
    </row>
    <row r="118" spans="1:10" ht="39.6" x14ac:dyDescent="0.3">
      <c r="A118" s="3"/>
      <c r="B118" s="90"/>
      <c r="C118" s="21" t="s">
        <v>92</v>
      </c>
      <c r="D118" s="21" t="s">
        <v>109</v>
      </c>
      <c r="E118" s="74">
        <v>1130123325</v>
      </c>
      <c r="F118" s="16"/>
      <c r="G118" s="97" t="s">
        <v>215</v>
      </c>
      <c r="H118" s="41">
        <f>H119</f>
        <v>3.2</v>
      </c>
      <c r="I118" s="41">
        <f>I119</f>
        <v>3.2</v>
      </c>
      <c r="J118" s="93">
        <f t="shared" si="28"/>
        <v>100</v>
      </c>
    </row>
    <row r="119" spans="1:10" ht="39.6" x14ac:dyDescent="0.3">
      <c r="A119" s="3"/>
      <c r="B119" s="90"/>
      <c r="C119" s="21" t="s">
        <v>92</v>
      </c>
      <c r="D119" s="21" t="s">
        <v>109</v>
      </c>
      <c r="E119" s="74">
        <v>1130123325</v>
      </c>
      <c r="F119" s="82" t="s">
        <v>205</v>
      </c>
      <c r="G119" s="97" t="s">
        <v>206</v>
      </c>
      <c r="H119" s="41">
        <f>2+1.2</f>
        <v>3.2</v>
      </c>
      <c r="I119" s="41">
        <v>3.2</v>
      </c>
      <c r="J119" s="93">
        <f t="shared" si="28"/>
        <v>100</v>
      </c>
    </row>
    <row r="120" spans="1:10" ht="66.599999999999994" x14ac:dyDescent="0.3">
      <c r="A120" s="3"/>
      <c r="B120" s="90"/>
      <c r="C120" s="21" t="s">
        <v>92</v>
      </c>
      <c r="D120" s="21" t="s">
        <v>109</v>
      </c>
      <c r="E120" s="52" t="s">
        <v>55</v>
      </c>
      <c r="F120" s="16"/>
      <c r="G120" s="48" t="s">
        <v>198</v>
      </c>
      <c r="H120" s="92">
        <f>H121</f>
        <v>15</v>
      </c>
      <c r="I120" s="92">
        <f t="shared" ref="I120" si="41">I121</f>
        <v>14.9</v>
      </c>
      <c r="J120" s="58">
        <f t="shared" si="28"/>
        <v>99.3</v>
      </c>
    </row>
    <row r="121" spans="1:10" ht="51" customHeight="1" x14ac:dyDescent="0.3">
      <c r="A121" s="3"/>
      <c r="B121" s="90"/>
      <c r="C121" s="21" t="s">
        <v>92</v>
      </c>
      <c r="D121" s="21" t="s">
        <v>109</v>
      </c>
      <c r="E121" s="21" t="s">
        <v>285</v>
      </c>
      <c r="F121" s="82"/>
      <c r="G121" s="97" t="s">
        <v>216</v>
      </c>
      <c r="H121" s="41">
        <f>H122+H124</f>
        <v>15</v>
      </c>
      <c r="I121" s="41">
        <f t="shared" ref="I121" si="42">I122+I124</f>
        <v>14.9</v>
      </c>
      <c r="J121" s="93">
        <f t="shared" si="28"/>
        <v>99.3</v>
      </c>
    </row>
    <row r="122" spans="1:10" ht="26.4" x14ac:dyDescent="0.3">
      <c r="A122" s="3"/>
      <c r="B122" s="90"/>
      <c r="C122" s="21" t="s">
        <v>92</v>
      </c>
      <c r="D122" s="21" t="s">
        <v>109</v>
      </c>
      <c r="E122" s="74">
        <v>1140123330</v>
      </c>
      <c r="F122" s="16"/>
      <c r="G122" s="97" t="s">
        <v>187</v>
      </c>
      <c r="H122" s="41">
        <f>H123</f>
        <v>12</v>
      </c>
      <c r="I122" s="41">
        <f>I123</f>
        <v>11.9</v>
      </c>
      <c r="J122" s="93">
        <f t="shared" si="28"/>
        <v>99.2</v>
      </c>
    </row>
    <row r="123" spans="1:10" ht="39.6" x14ac:dyDescent="0.3">
      <c r="A123" s="3"/>
      <c r="B123" s="90"/>
      <c r="C123" s="21" t="s">
        <v>92</v>
      </c>
      <c r="D123" s="21" t="s">
        <v>109</v>
      </c>
      <c r="E123" s="74">
        <v>1140123330</v>
      </c>
      <c r="F123" s="82" t="s">
        <v>205</v>
      </c>
      <c r="G123" s="97" t="s">
        <v>206</v>
      </c>
      <c r="H123" s="41">
        <v>12</v>
      </c>
      <c r="I123" s="41">
        <v>11.9</v>
      </c>
      <c r="J123" s="93">
        <f t="shared" si="28"/>
        <v>99.2</v>
      </c>
    </row>
    <row r="124" spans="1:10" ht="39.6" x14ac:dyDescent="0.3">
      <c r="A124" s="3"/>
      <c r="B124" s="90"/>
      <c r="C124" s="21" t="s">
        <v>92</v>
      </c>
      <c r="D124" s="21" t="s">
        <v>109</v>
      </c>
      <c r="E124" s="74">
        <v>1140123335</v>
      </c>
      <c r="F124" s="16"/>
      <c r="G124" s="97" t="s">
        <v>217</v>
      </c>
      <c r="H124" s="41">
        <f>H125</f>
        <v>3</v>
      </c>
      <c r="I124" s="41">
        <f>I125</f>
        <v>3</v>
      </c>
      <c r="J124" s="93">
        <f t="shared" si="28"/>
        <v>100</v>
      </c>
    </row>
    <row r="125" spans="1:10" ht="39.6" x14ac:dyDescent="0.3">
      <c r="A125" s="3"/>
      <c r="B125" s="90"/>
      <c r="C125" s="21" t="s">
        <v>92</v>
      </c>
      <c r="D125" s="21" t="s">
        <v>109</v>
      </c>
      <c r="E125" s="74">
        <v>1140123335</v>
      </c>
      <c r="F125" s="82" t="s">
        <v>205</v>
      </c>
      <c r="G125" s="97" t="s">
        <v>206</v>
      </c>
      <c r="H125" s="41">
        <v>3</v>
      </c>
      <c r="I125" s="41">
        <v>3</v>
      </c>
      <c r="J125" s="93">
        <f t="shared" si="28"/>
        <v>100</v>
      </c>
    </row>
    <row r="126" spans="1:10" ht="26.4" x14ac:dyDescent="0.3">
      <c r="A126" s="3"/>
      <c r="B126" s="90"/>
      <c r="C126" s="81" t="s">
        <v>92</v>
      </c>
      <c r="D126" s="81" t="s">
        <v>109</v>
      </c>
      <c r="E126" s="73" t="s">
        <v>188</v>
      </c>
      <c r="F126" s="33"/>
      <c r="G126" s="84" t="s">
        <v>139</v>
      </c>
      <c r="H126" s="61">
        <f>H127+H131</f>
        <v>6071.4</v>
      </c>
      <c r="I126" s="61">
        <f t="shared" ref="I126" si="43">I127+I131</f>
        <v>5769.5999999999995</v>
      </c>
      <c r="J126" s="62">
        <f t="shared" si="28"/>
        <v>95</v>
      </c>
    </row>
    <row r="127" spans="1:10" ht="66" x14ac:dyDescent="0.3">
      <c r="A127" s="3"/>
      <c r="B127" s="90"/>
      <c r="C127" s="21" t="s">
        <v>92</v>
      </c>
      <c r="D127" s="21" t="s">
        <v>109</v>
      </c>
      <c r="E127" s="21" t="s">
        <v>528</v>
      </c>
      <c r="F127" s="47"/>
      <c r="G127" s="54" t="s">
        <v>532</v>
      </c>
      <c r="H127" s="41">
        <f>SUM(H128:H130)</f>
        <v>6011.5</v>
      </c>
      <c r="I127" s="41">
        <f>SUM(I128:I130)</f>
        <v>5709.7</v>
      </c>
      <c r="J127" s="93">
        <f t="shared" si="28"/>
        <v>95</v>
      </c>
    </row>
    <row r="128" spans="1:10" ht="26.4" x14ac:dyDescent="0.3">
      <c r="A128" s="3"/>
      <c r="B128" s="90"/>
      <c r="C128" s="21" t="s">
        <v>92</v>
      </c>
      <c r="D128" s="21" t="s">
        <v>109</v>
      </c>
      <c r="E128" s="21" t="s">
        <v>528</v>
      </c>
      <c r="F128" s="16" t="s">
        <v>65</v>
      </c>
      <c r="G128" s="101" t="s">
        <v>128</v>
      </c>
      <c r="H128" s="41">
        <f>4638.4+525</f>
        <v>5163.3999999999996</v>
      </c>
      <c r="I128" s="41">
        <v>5033.5</v>
      </c>
      <c r="J128" s="93">
        <f t="shared" si="28"/>
        <v>97.5</v>
      </c>
    </row>
    <row r="129" spans="1:10" ht="39.6" x14ac:dyDescent="0.3">
      <c r="A129" s="3"/>
      <c r="B129" s="90"/>
      <c r="C129" s="21" t="s">
        <v>92</v>
      </c>
      <c r="D129" s="21" t="s">
        <v>109</v>
      </c>
      <c r="E129" s="21" t="s">
        <v>528</v>
      </c>
      <c r="F129" s="82" t="s">
        <v>205</v>
      </c>
      <c r="G129" s="97" t="s">
        <v>206</v>
      </c>
      <c r="H129" s="41">
        <v>843.1</v>
      </c>
      <c r="I129" s="41">
        <v>676.2</v>
      </c>
      <c r="J129" s="93">
        <f t="shared" si="28"/>
        <v>80.2</v>
      </c>
    </row>
    <row r="130" spans="1:10" ht="26.4" x14ac:dyDescent="0.3">
      <c r="A130" s="3"/>
      <c r="B130" s="90"/>
      <c r="C130" s="21" t="s">
        <v>92</v>
      </c>
      <c r="D130" s="21" t="s">
        <v>109</v>
      </c>
      <c r="E130" s="21" t="s">
        <v>528</v>
      </c>
      <c r="F130" s="82" t="s">
        <v>129</v>
      </c>
      <c r="G130" s="97" t="s">
        <v>130</v>
      </c>
      <c r="H130" s="41">
        <v>5</v>
      </c>
      <c r="I130" s="41">
        <v>0</v>
      </c>
      <c r="J130" s="93">
        <f t="shared" si="28"/>
        <v>0</v>
      </c>
    </row>
    <row r="131" spans="1:10" s="174" customFormat="1" ht="79.8" x14ac:dyDescent="0.3">
      <c r="A131" s="3"/>
      <c r="B131" s="90"/>
      <c r="C131" s="21" t="s">
        <v>92</v>
      </c>
      <c r="D131" s="21" t="s">
        <v>109</v>
      </c>
      <c r="E131" s="21" t="s">
        <v>715</v>
      </c>
      <c r="F131" s="82"/>
      <c r="G131" s="172" t="s">
        <v>714</v>
      </c>
      <c r="H131" s="106">
        <f>H132</f>
        <v>59.9</v>
      </c>
      <c r="I131" s="106">
        <f t="shared" ref="I131" si="44">I132</f>
        <v>59.9</v>
      </c>
      <c r="J131" s="93">
        <f t="shared" si="28"/>
        <v>100</v>
      </c>
    </row>
    <row r="132" spans="1:10" s="174" customFormat="1" ht="26.4" x14ac:dyDescent="0.3">
      <c r="A132" s="3"/>
      <c r="B132" s="90"/>
      <c r="C132" s="21" t="s">
        <v>92</v>
      </c>
      <c r="D132" s="21" t="s">
        <v>109</v>
      </c>
      <c r="E132" s="21" t="s">
        <v>715</v>
      </c>
      <c r="F132" s="16" t="s">
        <v>65</v>
      </c>
      <c r="G132" s="101" t="s">
        <v>128</v>
      </c>
      <c r="H132" s="106">
        <v>59.9</v>
      </c>
      <c r="I132" s="106">
        <v>59.9</v>
      </c>
      <c r="J132" s="93">
        <f t="shared" si="28"/>
        <v>100</v>
      </c>
    </row>
    <row r="133" spans="1:10" ht="15.6" x14ac:dyDescent="0.3">
      <c r="A133" s="3"/>
      <c r="B133" s="90"/>
      <c r="C133" s="4" t="s">
        <v>93</v>
      </c>
      <c r="D133" s="3"/>
      <c r="E133" s="3"/>
      <c r="F133" s="3"/>
      <c r="G133" s="49" t="s">
        <v>99</v>
      </c>
      <c r="H133" s="59">
        <f>H134+H145+H155+H199</f>
        <v>196156.50000000006</v>
      </c>
      <c r="I133" s="211">
        <f>I134+I145+I155+I199</f>
        <v>148781.80000000002</v>
      </c>
      <c r="J133" s="186">
        <f t="shared" si="28"/>
        <v>75.8</v>
      </c>
    </row>
    <row r="134" spans="1:10" s="32" customFormat="1" ht="14.4" x14ac:dyDescent="0.3">
      <c r="A134" s="29"/>
      <c r="B134" s="24"/>
      <c r="C134" s="30" t="s">
        <v>93</v>
      </c>
      <c r="D134" s="30" t="s">
        <v>94</v>
      </c>
      <c r="E134" s="30"/>
      <c r="F134" s="30"/>
      <c r="G134" s="45" t="s">
        <v>102</v>
      </c>
      <c r="H134" s="40">
        <f>H135+H140</f>
        <v>5021.8</v>
      </c>
      <c r="I134" s="40">
        <f t="shared" ref="I134" si="45">I135+I140</f>
        <v>1048.8</v>
      </c>
      <c r="J134" s="42">
        <f t="shared" si="28"/>
        <v>20.9</v>
      </c>
    </row>
    <row r="135" spans="1:10" s="32" customFormat="1" ht="92.4" x14ac:dyDescent="0.3">
      <c r="A135" s="29"/>
      <c r="B135" s="24"/>
      <c r="C135" s="82" t="s">
        <v>93</v>
      </c>
      <c r="D135" s="82" t="s">
        <v>94</v>
      </c>
      <c r="E135" s="73" t="s">
        <v>70</v>
      </c>
      <c r="F135" s="16"/>
      <c r="G135" s="140" t="s">
        <v>564</v>
      </c>
      <c r="H135" s="95">
        <f>H136</f>
        <v>3973</v>
      </c>
      <c r="I135" s="95">
        <f>I136</f>
        <v>0</v>
      </c>
      <c r="J135" s="62">
        <f t="shared" si="28"/>
        <v>0</v>
      </c>
    </row>
    <row r="136" spans="1:10" s="32" customFormat="1" ht="40.200000000000003" x14ac:dyDescent="0.3">
      <c r="A136" s="29"/>
      <c r="B136" s="24"/>
      <c r="C136" s="82" t="s">
        <v>93</v>
      </c>
      <c r="D136" s="82" t="s">
        <v>94</v>
      </c>
      <c r="E136" s="52" t="s">
        <v>158</v>
      </c>
      <c r="F136" s="16"/>
      <c r="G136" s="98" t="s">
        <v>157</v>
      </c>
      <c r="H136" s="92">
        <f>H137</f>
        <v>3973</v>
      </c>
      <c r="I136" s="92">
        <f t="shared" ref="I136" si="46">I137</f>
        <v>0</v>
      </c>
      <c r="J136" s="58">
        <f t="shared" si="28"/>
        <v>0</v>
      </c>
    </row>
    <row r="137" spans="1:10" s="32" customFormat="1" ht="27" x14ac:dyDescent="0.3">
      <c r="A137" s="29"/>
      <c r="B137" s="24"/>
      <c r="C137" s="16" t="s">
        <v>93</v>
      </c>
      <c r="D137" s="16" t="s">
        <v>121</v>
      </c>
      <c r="E137" s="21" t="s">
        <v>338</v>
      </c>
      <c r="F137" s="82"/>
      <c r="G137" s="98" t="s">
        <v>334</v>
      </c>
      <c r="H137" s="41">
        <f>H138</f>
        <v>3973</v>
      </c>
      <c r="I137" s="41">
        <f t="shared" ref="I137" si="47">I138</f>
        <v>0</v>
      </c>
      <c r="J137" s="93">
        <f t="shared" si="28"/>
        <v>0</v>
      </c>
    </row>
    <row r="138" spans="1:10" s="32" customFormat="1" ht="40.200000000000003" x14ac:dyDescent="0.3">
      <c r="A138" s="29"/>
      <c r="B138" s="24"/>
      <c r="C138" s="82" t="s">
        <v>93</v>
      </c>
      <c r="D138" s="82" t="s">
        <v>94</v>
      </c>
      <c r="E138" s="21" t="s">
        <v>618</v>
      </c>
      <c r="F138" s="16"/>
      <c r="G138" s="98" t="s">
        <v>669</v>
      </c>
      <c r="H138" s="39">
        <f>H139</f>
        <v>3973</v>
      </c>
      <c r="I138" s="39">
        <f t="shared" ref="I138" si="48">I139</f>
        <v>0</v>
      </c>
      <c r="J138" s="93">
        <f t="shared" si="28"/>
        <v>0</v>
      </c>
    </row>
    <row r="139" spans="1:10" s="32" customFormat="1" ht="39.6" x14ac:dyDescent="0.3">
      <c r="A139" s="29"/>
      <c r="B139" s="24"/>
      <c r="C139" s="82" t="s">
        <v>93</v>
      </c>
      <c r="D139" s="82" t="s">
        <v>94</v>
      </c>
      <c r="E139" s="21" t="s">
        <v>618</v>
      </c>
      <c r="F139" s="82" t="s">
        <v>205</v>
      </c>
      <c r="G139" s="97" t="s">
        <v>206</v>
      </c>
      <c r="H139" s="39">
        <f>43.7+3929.3</f>
        <v>3973</v>
      </c>
      <c r="I139" s="39">
        <v>0</v>
      </c>
      <c r="J139" s="93">
        <f t="shared" si="28"/>
        <v>0</v>
      </c>
    </row>
    <row r="140" spans="1:10" s="32" customFormat="1" ht="93" x14ac:dyDescent="0.3">
      <c r="A140" s="29"/>
      <c r="B140" s="24"/>
      <c r="C140" s="17" t="s">
        <v>93</v>
      </c>
      <c r="D140" s="17" t="s">
        <v>94</v>
      </c>
      <c r="E140" s="74">
        <v>400000000</v>
      </c>
      <c r="F140" s="30"/>
      <c r="G140" s="139" t="s">
        <v>563</v>
      </c>
      <c r="H140" s="95">
        <f t="shared" ref="H140:I143" si="49">H141</f>
        <v>1048.8</v>
      </c>
      <c r="I140" s="95">
        <f t="shared" si="49"/>
        <v>1048.8</v>
      </c>
      <c r="J140" s="62">
        <f t="shared" si="28"/>
        <v>100</v>
      </c>
    </row>
    <row r="141" spans="1:10" s="32" customFormat="1" ht="51" customHeight="1" x14ac:dyDescent="0.3">
      <c r="A141" s="29"/>
      <c r="B141" s="24"/>
      <c r="C141" s="47" t="s">
        <v>93</v>
      </c>
      <c r="D141" s="47" t="s">
        <v>94</v>
      </c>
      <c r="E141" s="75">
        <v>410000000</v>
      </c>
      <c r="F141" s="30"/>
      <c r="G141" s="46" t="s">
        <v>457</v>
      </c>
      <c r="H141" s="92">
        <f t="shared" si="49"/>
        <v>1048.8</v>
      </c>
      <c r="I141" s="92">
        <f t="shared" si="49"/>
        <v>1048.8</v>
      </c>
      <c r="J141" s="58">
        <f t="shared" si="28"/>
        <v>100</v>
      </c>
    </row>
    <row r="142" spans="1:10" s="32" customFormat="1" ht="53.4" x14ac:dyDescent="0.3">
      <c r="A142" s="29"/>
      <c r="B142" s="24"/>
      <c r="C142" s="82" t="s">
        <v>93</v>
      </c>
      <c r="D142" s="82" t="s">
        <v>94</v>
      </c>
      <c r="E142" s="74">
        <v>410100000</v>
      </c>
      <c r="F142" s="30"/>
      <c r="G142" s="96" t="s">
        <v>458</v>
      </c>
      <c r="H142" s="92">
        <f>H143</f>
        <v>1048.8</v>
      </c>
      <c r="I142" s="92">
        <f t="shared" si="49"/>
        <v>1048.8</v>
      </c>
      <c r="J142" s="93">
        <f t="shared" ref="J142:J205" si="50">ROUND((I142/H142*100),1)</f>
        <v>100</v>
      </c>
    </row>
    <row r="143" spans="1:10" s="32" customFormat="1" ht="27" x14ac:dyDescent="0.3">
      <c r="A143" s="29"/>
      <c r="B143" s="24"/>
      <c r="C143" s="82" t="s">
        <v>93</v>
      </c>
      <c r="D143" s="82" t="s">
        <v>94</v>
      </c>
      <c r="E143" s="133" t="s">
        <v>632</v>
      </c>
      <c r="F143" s="16"/>
      <c r="G143" s="98" t="s">
        <v>164</v>
      </c>
      <c r="H143" s="39">
        <f>H144</f>
        <v>1048.8</v>
      </c>
      <c r="I143" s="39">
        <f t="shared" si="49"/>
        <v>1048.8</v>
      </c>
      <c r="J143" s="93">
        <f t="shared" si="50"/>
        <v>100</v>
      </c>
    </row>
    <row r="144" spans="1:10" s="32" customFormat="1" ht="39.6" x14ac:dyDescent="0.3">
      <c r="A144" s="29"/>
      <c r="B144" s="24"/>
      <c r="C144" s="82" t="s">
        <v>93</v>
      </c>
      <c r="D144" s="82" t="s">
        <v>94</v>
      </c>
      <c r="E144" s="133" t="s">
        <v>632</v>
      </c>
      <c r="F144" s="82" t="s">
        <v>205</v>
      </c>
      <c r="G144" s="97" t="s">
        <v>206</v>
      </c>
      <c r="H144" s="39">
        <f>1382.3-333.5</f>
        <v>1048.8</v>
      </c>
      <c r="I144" s="39">
        <v>1048.8</v>
      </c>
      <c r="J144" s="93">
        <f t="shared" si="50"/>
        <v>100</v>
      </c>
    </row>
    <row r="145" spans="1:10" ht="14.4" x14ac:dyDescent="0.3">
      <c r="A145" s="1"/>
      <c r="B145" s="25"/>
      <c r="C145" s="30" t="s">
        <v>93</v>
      </c>
      <c r="D145" s="30" t="s">
        <v>100</v>
      </c>
      <c r="E145" s="30"/>
      <c r="F145" s="30"/>
      <c r="G145" s="27" t="s">
        <v>1</v>
      </c>
      <c r="H145" s="40">
        <f t="shared" ref="H145:I145" si="51">H146</f>
        <v>27326.400000000001</v>
      </c>
      <c r="I145" s="40">
        <f t="shared" si="51"/>
        <v>27155</v>
      </c>
      <c r="J145" s="42">
        <f t="shared" si="50"/>
        <v>99.4</v>
      </c>
    </row>
    <row r="146" spans="1:10" ht="106.2" x14ac:dyDescent="0.3">
      <c r="A146" s="1"/>
      <c r="B146" s="25"/>
      <c r="C146" s="5" t="s">
        <v>93</v>
      </c>
      <c r="D146" s="5" t="s">
        <v>100</v>
      </c>
      <c r="E146" s="73" t="s">
        <v>68</v>
      </c>
      <c r="F146" s="30"/>
      <c r="G146" s="139" t="s">
        <v>568</v>
      </c>
      <c r="H146" s="95">
        <f t="shared" ref="H146:I147" si="52">H147</f>
        <v>27326.400000000001</v>
      </c>
      <c r="I146" s="95">
        <f t="shared" si="52"/>
        <v>27155</v>
      </c>
      <c r="J146" s="62">
        <f t="shared" si="50"/>
        <v>99.4</v>
      </c>
    </row>
    <row r="147" spans="1:10" ht="66.599999999999994" x14ac:dyDescent="0.3">
      <c r="A147" s="1"/>
      <c r="B147" s="25"/>
      <c r="C147" s="16" t="s">
        <v>93</v>
      </c>
      <c r="D147" s="16" t="s">
        <v>100</v>
      </c>
      <c r="E147" s="52" t="s">
        <v>208</v>
      </c>
      <c r="F147" s="30"/>
      <c r="G147" s="46" t="s">
        <v>181</v>
      </c>
      <c r="H147" s="92">
        <f>H148</f>
        <v>27326.400000000001</v>
      </c>
      <c r="I147" s="92">
        <f t="shared" si="52"/>
        <v>27155</v>
      </c>
      <c r="J147" s="58">
        <f t="shared" si="50"/>
        <v>99.4</v>
      </c>
    </row>
    <row r="148" spans="1:10" ht="27" x14ac:dyDescent="0.3">
      <c r="A148" s="1"/>
      <c r="B148" s="25"/>
      <c r="C148" s="16" t="s">
        <v>93</v>
      </c>
      <c r="D148" s="16" t="s">
        <v>100</v>
      </c>
      <c r="E148" s="74">
        <v>920100000</v>
      </c>
      <c r="F148" s="30"/>
      <c r="G148" s="96" t="s">
        <v>290</v>
      </c>
      <c r="H148" s="39">
        <f>H149+H151+H153</f>
        <v>27326.400000000001</v>
      </c>
      <c r="I148" s="39">
        <f>I149+I151+I153</f>
        <v>27155</v>
      </c>
      <c r="J148" s="93">
        <f t="shared" si="50"/>
        <v>99.4</v>
      </c>
    </row>
    <row r="149" spans="1:10" ht="79.8" x14ac:dyDescent="0.3">
      <c r="A149" s="1"/>
      <c r="B149" s="25"/>
      <c r="C149" s="16" t="s">
        <v>93</v>
      </c>
      <c r="D149" s="16" t="s">
        <v>100</v>
      </c>
      <c r="E149" s="74" t="s">
        <v>299</v>
      </c>
      <c r="F149" s="30"/>
      <c r="G149" s="96" t="s">
        <v>209</v>
      </c>
      <c r="H149" s="39">
        <f>H150</f>
        <v>5028.8</v>
      </c>
      <c r="I149" s="39">
        <f>I150</f>
        <v>4994.5</v>
      </c>
      <c r="J149" s="93">
        <f t="shared" si="50"/>
        <v>99.3</v>
      </c>
    </row>
    <row r="150" spans="1:10" ht="39.6" x14ac:dyDescent="0.25">
      <c r="A150" s="1"/>
      <c r="B150" s="25"/>
      <c r="C150" s="16" t="s">
        <v>93</v>
      </c>
      <c r="D150" s="16" t="s">
        <v>100</v>
      </c>
      <c r="E150" s="74" t="s">
        <v>299</v>
      </c>
      <c r="F150" s="82" t="s">
        <v>205</v>
      </c>
      <c r="G150" s="97" t="s">
        <v>206</v>
      </c>
      <c r="H150" s="39">
        <v>5028.8</v>
      </c>
      <c r="I150" s="39">
        <v>4994.5</v>
      </c>
      <c r="J150" s="93">
        <f t="shared" si="50"/>
        <v>99.3</v>
      </c>
    </row>
    <row r="151" spans="1:10" ht="53.25" customHeight="1" x14ac:dyDescent="0.25">
      <c r="A151" s="1"/>
      <c r="B151" s="25"/>
      <c r="C151" s="16" t="s">
        <v>93</v>
      </c>
      <c r="D151" s="16" t="s">
        <v>100</v>
      </c>
      <c r="E151" s="74">
        <v>920110300</v>
      </c>
      <c r="F151" s="16"/>
      <c r="G151" s="96" t="s">
        <v>687</v>
      </c>
      <c r="H151" s="39">
        <f>H152</f>
        <v>20115.2</v>
      </c>
      <c r="I151" s="39">
        <f>I152</f>
        <v>19978.2</v>
      </c>
      <c r="J151" s="93">
        <f t="shared" si="50"/>
        <v>99.3</v>
      </c>
    </row>
    <row r="152" spans="1:10" ht="39.6" x14ac:dyDescent="0.25">
      <c r="A152" s="1"/>
      <c r="B152" s="25"/>
      <c r="C152" s="16" t="s">
        <v>93</v>
      </c>
      <c r="D152" s="16" t="s">
        <v>100</v>
      </c>
      <c r="E152" s="74">
        <v>920110300</v>
      </c>
      <c r="F152" s="82" t="s">
        <v>205</v>
      </c>
      <c r="G152" s="97" t="s">
        <v>206</v>
      </c>
      <c r="H152" s="39">
        <v>20115.2</v>
      </c>
      <c r="I152" s="39">
        <v>19978.2</v>
      </c>
      <c r="J152" s="93">
        <f t="shared" si="50"/>
        <v>99.3</v>
      </c>
    </row>
    <row r="153" spans="1:10" ht="77.25" customHeight="1" x14ac:dyDescent="0.25">
      <c r="A153" s="1"/>
      <c r="B153" s="25"/>
      <c r="C153" s="16" t="s">
        <v>93</v>
      </c>
      <c r="D153" s="16" t="s">
        <v>100</v>
      </c>
      <c r="E153" s="74">
        <v>920123495</v>
      </c>
      <c r="F153" s="82"/>
      <c r="G153" s="54" t="s">
        <v>551</v>
      </c>
      <c r="H153" s="39">
        <f>H154</f>
        <v>2182.4</v>
      </c>
      <c r="I153" s="39">
        <f>I154</f>
        <v>2182.3000000000002</v>
      </c>
      <c r="J153" s="93">
        <f t="shared" si="50"/>
        <v>100</v>
      </c>
    </row>
    <row r="154" spans="1:10" ht="39.6" x14ac:dyDescent="0.25">
      <c r="A154" s="1"/>
      <c r="B154" s="25"/>
      <c r="C154" s="16" t="s">
        <v>93</v>
      </c>
      <c r="D154" s="16" t="s">
        <v>100</v>
      </c>
      <c r="E154" s="74">
        <v>920123495</v>
      </c>
      <c r="F154" s="82" t="s">
        <v>205</v>
      </c>
      <c r="G154" s="97" t="s">
        <v>206</v>
      </c>
      <c r="H154" s="39">
        <f>2116.9+65.5</f>
        <v>2182.4</v>
      </c>
      <c r="I154" s="39">
        <v>2182.3000000000002</v>
      </c>
      <c r="J154" s="93">
        <f t="shared" si="50"/>
        <v>100</v>
      </c>
    </row>
    <row r="155" spans="1:10" ht="28.8" x14ac:dyDescent="0.3">
      <c r="A155" s="1"/>
      <c r="B155" s="25"/>
      <c r="C155" s="30" t="s">
        <v>93</v>
      </c>
      <c r="D155" s="30" t="s">
        <v>98</v>
      </c>
      <c r="E155" s="30"/>
      <c r="F155" s="30"/>
      <c r="G155" s="50" t="s">
        <v>192</v>
      </c>
      <c r="H155" s="40">
        <f>+H156+H179</f>
        <v>160642.60000000003</v>
      </c>
      <c r="I155" s="40">
        <f>+I156+I179</f>
        <v>117412.3</v>
      </c>
      <c r="J155" s="42">
        <f t="shared" si="50"/>
        <v>73.099999999999994</v>
      </c>
    </row>
    <row r="156" spans="1:10" ht="106.2" x14ac:dyDescent="0.3">
      <c r="A156" s="1"/>
      <c r="B156" s="25"/>
      <c r="C156" s="5" t="s">
        <v>93</v>
      </c>
      <c r="D156" s="5" t="s">
        <v>98</v>
      </c>
      <c r="E156" s="73" t="s">
        <v>68</v>
      </c>
      <c r="F156" s="30"/>
      <c r="G156" s="139" t="s">
        <v>568</v>
      </c>
      <c r="H156" s="95">
        <f t="shared" ref="H156" si="53">H157</f>
        <v>152644.00000000003</v>
      </c>
      <c r="I156" s="95">
        <f>I157</f>
        <v>109448.8</v>
      </c>
      <c r="J156" s="62">
        <f t="shared" si="50"/>
        <v>71.7</v>
      </c>
    </row>
    <row r="157" spans="1:10" ht="66.599999999999994" x14ac:dyDescent="0.3">
      <c r="A157" s="1"/>
      <c r="B157" s="25"/>
      <c r="C157" s="16" t="s">
        <v>93</v>
      </c>
      <c r="D157" s="16" t="s">
        <v>98</v>
      </c>
      <c r="E157" s="52" t="s">
        <v>69</v>
      </c>
      <c r="F157" s="30"/>
      <c r="G157" s="46" t="s">
        <v>160</v>
      </c>
      <c r="H157" s="92">
        <f>H158</f>
        <v>152644.00000000003</v>
      </c>
      <c r="I157" s="92">
        <f>I158</f>
        <v>109448.8</v>
      </c>
      <c r="J157" s="58">
        <f t="shared" si="50"/>
        <v>71.7</v>
      </c>
    </row>
    <row r="158" spans="1:10" ht="40.200000000000003" x14ac:dyDescent="0.3">
      <c r="A158" s="1"/>
      <c r="B158" s="25"/>
      <c r="C158" s="16" t="s">
        <v>93</v>
      </c>
      <c r="D158" s="16" t="s">
        <v>98</v>
      </c>
      <c r="E158" s="21" t="s">
        <v>289</v>
      </c>
      <c r="F158" s="30"/>
      <c r="G158" s="96" t="s">
        <v>301</v>
      </c>
      <c r="H158" s="39">
        <f>H159+H161+H163+H165+H167+H169+H171+H173+H175+H177</f>
        <v>152644.00000000003</v>
      </c>
      <c r="I158" s="39">
        <f>I159+I161+I163+I165+I167+I169+I171+I173+I175+I177</f>
        <v>109448.8</v>
      </c>
      <c r="J158" s="93">
        <f t="shared" si="50"/>
        <v>71.7</v>
      </c>
    </row>
    <row r="159" spans="1:10" ht="93" x14ac:dyDescent="0.3">
      <c r="A159" s="1"/>
      <c r="B159" s="25"/>
      <c r="C159" s="16" t="s">
        <v>93</v>
      </c>
      <c r="D159" s="16" t="s">
        <v>98</v>
      </c>
      <c r="E159" s="74">
        <v>910123405</v>
      </c>
      <c r="F159" s="30"/>
      <c r="G159" s="96" t="s">
        <v>288</v>
      </c>
      <c r="H159" s="39">
        <f>H160</f>
        <v>15376.7</v>
      </c>
      <c r="I159" s="39">
        <f>I160</f>
        <v>14169.2</v>
      </c>
      <c r="J159" s="93">
        <f t="shared" si="50"/>
        <v>92.1</v>
      </c>
    </row>
    <row r="160" spans="1:10" ht="39.6" x14ac:dyDescent="0.25">
      <c r="A160" s="1"/>
      <c r="B160" s="25"/>
      <c r="C160" s="16" t="s">
        <v>93</v>
      </c>
      <c r="D160" s="16" t="s">
        <v>98</v>
      </c>
      <c r="E160" s="74">
        <v>910123405</v>
      </c>
      <c r="F160" s="82" t="s">
        <v>205</v>
      </c>
      <c r="G160" s="97" t="s">
        <v>206</v>
      </c>
      <c r="H160" s="39">
        <v>15376.7</v>
      </c>
      <c r="I160" s="207">
        <v>14169.2</v>
      </c>
      <c r="J160" s="93">
        <f t="shared" si="50"/>
        <v>92.1</v>
      </c>
    </row>
    <row r="161" spans="1:10" ht="62.25" customHeight="1" x14ac:dyDescent="0.3">
      <c r="A161" s="1"/>
      <c r="B161" s="25"/>
      <c r="C161" s="16" t="s">
        <v>93</v>
      </c>
      <c r="D161" s="16" t="s">
        <v>98</v>
      </c>
      <c r="E161" s="74">
        <v>910110520</v>
      </c>
      <c r="F161" s="30"/>
      <c r="G161" s="96" t="s">
        <v>179</v>
      </c>
      <c r="H161" s="39">
        <f>H162</f>
        <v>20020.599999999999</v>
      </c>
      <c r="I161" s="39">
        <f>I162</f>
        <v>17834.2</v>
      </c>
      <c r="J161" s="93">
        <f t="shared" si="50"/>
        <v>89.1</v>
      </c>
    </row>
    <row r="162" spans="1:10" ht="39.6" x14ac:dyDescent="0.25">
      <c r="A162" s="1"/>
      <c r="B162" s="25"/>
      <c r="C162" s="16" t="s">
        <v>93</v>
      </c>
      <c r="D162" s="16" t="s">
        <v>98</v>
      </c>
      <c r="E162" s="74">
        <v>910110520</v>
      </c>
      <c r="F162" s="82" t="s">
        <v>205</v>
      </c>
      <c r="G162" s="97" t="s">
        <v>206</v>
      </c>
      <c r="H162" s="1">
        <v>20020.599999999999</v>
      </c>
      <c r="I162" s="39">
        <v>17834.2</v>
      </c>
      <c r="J162" s="93">
        <f t="shared" si="50"/>
        <v>89.1</v>
      </c>
    </row>
    <row r="163" spans="1:10" ht="26.4" x14ac:dyDescent="0.25">
      <c r="A163" s="1"/>
      <c r="B163" s="25"/>
      <c r="C163" s="16" t="s">
        <v>93</v>
      </c>
      <c r="D163" s="16" t="s">
        <v>98</v>
      </c>
      <c r="E163" s="74">
        <v>910123410</v>
      </c>
      <c r="F163" s="16"/>
      <c r="G163" s="97" t="s">
        <v>180</v>
      </c>
      <c r="H163" s="39">
        <f>H164</f>
        <v>19002.400000000001</v>
      </c>
      <c r="I163" s="39">
        <f>I164</f>
        <v>17311.8</v>
      </c>
      <c r="J163" s="93">
        <f t="shared" si="50"/>
        <v>91.1</v>
      </c>
    </row>
    <row r="164" spans="1:10" ht="39.6" x14ac:dyDescent="0.25">
      <c r="A164" s="1"/>
      <c r="B164" s="25"/>
      <c r="C164" s="16" t="s">
        <v>93</v>
      </c>
      <c r="D164" s="16" t="s">
        <v>98</v>
      </c>
      <c r="E164" s="74">
        <v>910123410</v>
      </c>
      <c r="F164" s="82" t="s">
        <v>205</v>
      </c>
      <c r="G164" s="97" t="s">
        <v>206</v>
      </c>
      <c r="H164" s="39">
        <f>16457+1413.5+1131.9</f>
        <v>19002.400000000001</v>
      </c>
      <c r="I164" s="207">
        <v>17311.8</v>
      </c>
      <c r="J164" s="93">
        <f t="shared" si="50"/>
        <v>91.1</v>
      </c>
    </row>
    <row r="165" spans="1:10" ht="105.6" x14ac:dyDescent="0.25">
      <c r="A165" s="1"/>
      <c r="B165" s="25"/>
      <c r="C165" s="16" t="s">
        <v>93</v>
      </c>
      <c r="D165" s="16" t="s">
        <v>98</v>
      </c>
      <c r="E165" s="74">
        <v>910123415</v>
      </c>
      <c r="F165" s="82"/>
      <c r="G165" s="128" t="s">
        <v>660</v>
      </c>
      <c r="H165" s="39">
        <f>H166</f>
        <v>2263.4</v>
      </c>
      <c r="I165" s="39">
        <f t="shared" ref="I165" si="54">I166</f>
        <v>944.9</v>
      </c>
      <c r="J165" s="93">
        <f t="shared" si="50"/>
        <v>41.7</v>
      </c>
    </row>
    <row r="166" spans="1:10" ht="39.6" x14ac:dyDescent="0.25">
      <c r="A166" s="1"/>
      <c r="B166" s="25"/>
      <c r="C166" s="16" t="s">
        <v>93</v>
      </c>
      <c r="D166" s="16" t="s">
        <v>98</v>
      </c>
      <c r="E166" s="74">
        <v>910123415</v>
      </c>
      <c r="F166" s="82" t="s">
        <v>205</v>
      </c>
      <c r="G166" s="97" t="s">
        <v>206</v>
      </c>
      <c r="H166" s="39">
        <f>100+380+5000-3566.6+350</f>
        <v>2263.4</v>
      </c>
      <c r="I166" s="207">
        <v>944.9</v>
      </c>
      <c r="J166" s="93">
        <f t="shared" si="50"/>
        <v>41.7</v>
      </c>
    </row>
    <row r="167" spans="1:10" ht="52.8" x14ac:dyDescent="0.25">
      <c r="A167" s="1"/>
      <c r="B167" s="25"/>
      <c r="C167" s="16" t="s">
        <v>93</v>
      </c>
      <c r="D167" s="16" t="s">
        <v>98</v>
      </c>
      <c r="E167" s="74" t="s">
        <v>344</v>
      </c>
      <c r="F167" s="82"/>
      <c r="G167" s="121" t="s">
        <v>343</v>
      </c>
      <c r="H167" s="39">
        <f>H168</f>
        <v>1144.1000000000004</v>
      </c>
      <c r="I167" s="39">
        <f>I168</f>
        <v>551</v>
      </c>
      <c r="J167" s="93">
        <f t="shared" si="50"/>
        <v>48.2</v>
      </c>
    </row>
    <row r="168" spans="1:10" ht="39.6" x14ac:dyDescent="0.25">
      <c r="A168" s="1"/>
      <c r="B168" s="25"/>
      <c r="C168" s="16" t="s">
        <v>93</v>
      </c>
      <c r="D168" s="16" t="s">
        <v>98</v>
      </c>
      <c r="E168" s="74" t="s">
        <v>344</v>
      </c>
      <c r="F168" s="82" t="s">
        <v>205</v>
      </c>
      <c r="G168" s="97" t="s">
        <v>206</v>
      </c>
      <c r="H168" s="39">
        <f>2317.6-1000+3130.1-10.9-3292.7</f>
        <v>1144.1000000000004</v>
      </c>
      <c r="I168" s="39">
        <v>551</v>
      </c>
      <c r="J168" s="93">
        <f t="shared" si="50"/>
        <v>48.2</v>
      </c>
    </row>
    <row r="169" spans="1:10" ht="66" x14ac:dyDescent="0.25">
      <c r="A169" s="1"/>
      <c r="B169" s="25"/>
      <c r="C169" s="16" t="s">
        <v>93</v>
      </c>
      <c r="D169" s="16" t="s">
        <v>98</v>
      </c>
      <c r="E169" s="135" t="s">
        <v>500</v>
      </c>
      <c r="F169" s="82"/>
      <c r="G169" s="121" t="s">
        <v>345</v>
      </c>
      <c r="H169" s="39">
        <f>H170</f>
        <v>7695.6</v>
      </c>
      <c r="I169" s="39">
        <f>I170</f>
        <v>3159.3</v>
      </c>
      <c r="J169" s="93">
        <f t="shared" si="50"/>
        <v>41.1</v>
      </c>
    </row>
    <row r="170" spans="1:10" ht="39.6" x14ac:dyDescent="0.25">
      <c r="A170" s="1"/>
      <c r="B170" s="25"/>
      <c r="C170" s="16" t="s">
        <v>93</v>
      </c>
      <c r="D170" s="16" t="s">
        <v>98</v>
      </c>
      <c r="E170" s="135" t="s">
        <v>500</v>
      </c>
      <c r="F170" s="82" t="s">
        <v>205</v>
      </c>
      <c r="G170" s="97" t="s">
        <v>206</v>
      </c>
      <c r="H170" s="1">
        <f>9270.5-1574.9</f>
        <v>7695.6</v>
      </c>
      <c r="I170" s="39">
        <v>3159.3</v>
      </c>
      <c r="J170" s="93">
        <f t="shared" si="50"/>
        <v>41.1</v>
      </c>
    </row>
    <row r="171" spans="1:10" ht="26.4" x14ac:dyDescent="0.25">
      <c r="A171" s="1"/>
      <c r="B171" s="25"/>
      <c r="C171" s="16" t="s">
        <v>93</v>
      </c>
      <c r="D171" s="16" t="s">
        <v>98</v>
      </c>
      <c r="E171" s="74" t="s">
        <v>340</v>
      </c>
      <c r="F171" s="82"/>
      <c r="G171" s="97" t="s">
        <v>341</v>
      </c>
      <c r="H171" s="39">
        <f>H172</f>
        <v>10850.8</v>
      </c>
      <c r="I171" s="39">
        <f>I172</f>
        <v>4719.5</v>
      </c>
      <c r="J171" s="93">
        <f t="shared" si="50"/>
        <v>43.5</v>
      </c>
    </row>
    <row r="172" spans="1:10" ht="39.6" x14ac:dyDescent="0.25">
      <c r="A172" s="1"/>
      <c r="B172" s="25"/>
      <c r="C172" s="16" t="s">
        <v>93</v>
      </c>
      <c r="D172" s="16" t="s">
        <v>98</v>
      </c>
      <c r="E172" s="74" t="s">
        <v>340</v>
      </c>
      <c r="F172" s="82" t="s">
        <v>205</v>
      </c>
      <c r="G172" s="97" t="s">
        <v>206</v>
      </c>
      <c r="H172" s="39">
        <f>14380.3+396.5-800-5193.4-1842.6+3931.5-21.5</f>
        <v>10850.8</v>
      </c>
      <c r="I172" s="39">
        <v>4719.5</v>
      </c>
      <c r="J172" s="93">
        <f t="shared" si="50"/>
        <v>43.5</v>
      </c>
    </row>
    <row r="173" spans="1:10" ht="26.4" x14ac:dyDescent="0.25">
      <c r="A173" s="1"/>
      <c r="B173" s="25"/>
      <c r="C173" s="16" t="s">
        <v>93</v>
      </c>
      <c r="D173" s="16" t="s">
        <v>98</v>
      </c>
      <c r="E173" s="137" t="s">
        <v>501</v>
      </c>
      <c r="F173" s="82"/>
      <c r="G173" s="97" t="s">
        <v>342</v>
      </c>
      <c r="H173" s="39">
        <f>H174</f>
        <v>57521.3</v>
      </c>
      <c r="I173" s="39">
        <f>I174</f>
        <v>37525.699999999997</v>
      </c>
      <c r="J173" s="93">
        <f t="shared" si="50"/>
        <v>65.2</v>
      </c>
    </row>
    <row r="174" spans="1:10" ht="39.6" x14ac:dyDescent="0.25">
      <c r="A174" s="1"/>
      <c r="B174" s="25"/>
      <c r="C174" s="16" t="s">
        <v>93</v>
      </c>
      <c r="D174" s="16" t="s">
        <v>98</v>
      </c>
      <c r="E174" s="137" t="s">
        <v>501</v>
      </c>
      <c r="F174" s="82" t="s">
        <v>205</v>
      </c>
      <c r="G174" s="97" t="s">
        <v>206</v>
      </c>
      <c r="H174" s="39">
        <v>57521.3</v>
      </c>
      <c r="I174" s="207">
        <v>37525.699999999997</v>
      </c>
      <c r="J174" s="93">
        <f t="shared" si="50"/>
        <v>65.2</v>
      </c>
    </row>
    <row r="175" spans="1:10" ht="26.4" x14ac:dyDescent="0.25">
      <c r="A175" s="1"/>
      <c r="B175" s="25"/>
      <c r="C175" s="16" t="s">
        <v>93</v>
      </c>
      <c r="D175" s="16" t="s">
        <v>98</v>
      </c>
      <c r="E175" s="74">
        <v>910123425</v>
      </c>
      <c r="F175" s="82"/>
      <c r="G175" s="97" t="s">
        <v>369</v>
      </c>
      <c r="H175" s="39">
        <f>H176</f>
        <v>17615.100000000002</v>
      </c>
      <c r="I175" s="39">
        <f>I176</f>
        <v>12116.2</v>
      </c>
      <c r="J175" s="93">
        <f t="shared" si="50"/>
        <v>68.8</v>
      </c>
    </row>
    <row r="176" spans="1:10" ht="39.6" x14ac:dyDescent="0.25">
      <c r="A176" s="1"/>
      <c r="B176" s="25"/>
      <c r="C176" s="16" t="s">
        <v>93</v>
      </c>
      <c r="D176" s="16" t="s">
        <v>98</v>
      </c>
      <c r="E176" s="74">
        <v>910123425</v>
      </c>
      <c r="F176" s="82" t="s">
        <v>205</v>
      </c>
      <c r="G176" s="97" t="s">
        <v>206</v>
      </c>
      <c r="H176" s="39">
        <f>1590+1493.2+1306.4+2176+2289.3+8760.2</f>
        <v>17615.100000000002</v>
      </c>
      <c r="I176" s="207">
        <v>12116.2</v>
      </c>
      <c r="J176" s="93">
        <f t="shared" si="50"/>
        <v>68.8</v>
      </c>
    </row>
    <row r="177" spans="1:10" x14ac:dyDescent="0.25">
      <c r="A177" s="1"/>
      <c r="B177" s="25"/>
      <c r="C177" s="16" t="s">
        <v>93</v>
      </c>
      <c r="D177" s="16" t="s">
        <v>98</v>
      </c>
      <c r="E177" s="74">
        <v>910123430</v>
      </c>
      <c r="F177" s="82"/>
      <c r="G177" s="97" t="s">
        <v>600</v>
      </c>
      <c r="H177" s="39">
        <f>H178</f>
        <v>1154</v>
      </c>
      <c r="I177" s="39">
        <f t="shared" ref="I177" si="55">I178</f>
        <v>1117</v>
      </c>
      <c r="J177" s="93">
        <f t="shared" si="50"/>
        <v>96.8</v>
      </c>
    </row>
    <row r="178" spans="1:10" ht="39.6" x14ac:dyDescent="0.25">
      <c r="A178" s="1"/>
      <c r="B178" s="25"/>
      <c r="C178" s="16" t="s">
        <v>93</v>
      </c>
      <c r="D178" s="16" t="s">
        <v>98</v>
      </c>
      <c r="E178" s="74">
        <v>910123430</v>
      </c>
      <c r="F178" s="82" t="s">
        <v>205</v>
      </c>
      <c r="G178" s="97" t="s">
        <v>206</v>
      </c>
      <c r="H178" s="39">
        <f>817+337</f>
        <v>1154</v>
      </c>
      <c r="I178" s="208">
        <v>1117</v>
      </c>
      <c r="J178" s="93">
        <f t="shared" si="50"/>
        <v>96.8</v>
      </c>
    </row>
    <row r="179" spans="1:10" ht="90" customHeight="1" x14ac:dyDescent="0.25">
      <c r="A179" s="1"/>
      <c r="B179" s="25"/>
      <c r="C179" s="73" t="s">
        <v>93</v>
      </c>
      <c r="D179" s="73" t="s">
        <v>98</v>
      </c>
      <c r="E179" s="73" t="s">
        <v>221</v>
      </c>
      <c r="F179" s="16"/>
      <c r="G179" s="64" t="s">
        <v>575</v>
      </c>
      <c r="H179" s="95">
        <f>H180</f>
        <v>7998.6</v>
      </c>
      <c r="I179" s="95">
        <f t="shared" ref="I179" si="56">I180</f>
        <v>7963.5</v>
      </c>
      <c r="J179" s="62">
        <f t="shared" si="50"/>
        <v>99.6</v>
      </c>
    </row>
    <row r="180" spans="1:10" ht="52.8" x14ac:dyDescent="0.25">
      <c r="A180" s="1"/>
      <c r="B180" s="25"/>
      <c r="C180" s="52" t="s">
        <v>93</v>
      </c>
      <c r="D180" s="52" t="s">
        <v>98</v>
      </c>
      <c r="E180" s="52" t="s">
        <v>222</v>
      </c>
      <c r="F180" s="47"/>
      <c r="G180" s="48" t="s">
        <v>223</v>
      </c>
      <c r="H180" s="95">
        <f>H181+H194</f>
        <v>7998.6</v>
      </c>
      <c r="I180" s="95">
        <f t="shared" ref="I180" si="57">I181+I194</f>
        <v>7963.5</v>
      </c>
      <c r="J180" s="62">
        <f t="shared" si="50"/>
        <v>99.6</v>
      </c>
    </row>
    <row r="181" spans="1:10" ht="52.8" x14ac:dyDescent="0.25">
      <c r="A181" s="1"/>
      <c r="B181" s="25"/>
      <c r="C181" s="21" t="s">
        <v>93</v>
      </c>
      <c r="D181" s="21" t="s">
        <v>98</v>
      </c>
      <c r="E181" s="21" t="s">
        <v>224</v>
      </c>
      <c r="F181" s="82"/>
      <c r="G181" s="97" t="s">
        <v>225</v>
      </c>
      <c r="H181" s="41">
        <f>H182+H184+H186+H188+H190+H192</f>
        <v>4926.5</v>
      </c>
      <c r="I181" s="41">
        <f t="shared" ref="I181" si="58">I182+I184+I186+I188+I190+I192</f>
        <v>4891.5</v>
      </c>
      <c r="J181" s="93">
        <f t="shared" si="50"/>
        <v>99.3</v>
      </c>
    </row>
    <row r="182" spans="1:10" ht="39.6" x14ac:dyDescent="0.25">
      <c r="A182" s="1"/>
      <c r="B182" s="25"/>
      <c r="C182" s="21" t="s">
        <v>93</v>
      </c>
      <c r="D182" s="21" t="s">
        <v>98</v>
      </c>
      <c r="E182" s="21" t="s">
        <v>523</v>
      </c>
      <c r="F182" s="82"/>
      <c r="G182" s="97" t="s">
        <v>337</v>
      </c>
      <c r="H182" s="41">
        <f>H183</f>
        <v>2442.6999999999998</v>
      </c>
      <c r="I182" s="41">
        <f>I183</f>
        <v>2442.6999999999998</v>
      </c>
      <c r="J182" s="93">
        <f t="shared" si="50"/>
        <v>100</v>
      </c>
    </row>
    <row r="183" spans="1:10" ht="39.6" x14ac:dyDescent="0.25">
      <c r="A183" s="1"/>
      <c r="B183" s="25"/>
      <c r="C183" s="21" t="s">
        <v>93</v>
      </c>
      <c r="D183" s="21" t="s">
        <v>98</v>
      </c>
      <c r="E183" s="21" t="s">
        <v>523</v>
      </c>
      <c r="F183" s="82" t="s">
        <v>205</v>
      </c>
      <c r="G183" s="97" t="s">
        <v>206</v>
      </c>
      <c r="H183" s="41">
        <f>2972.1-529.4</f>
        <v>2442.6999999999998</v>
      </c>
      <c r="I183" s="41">
        <v>2442.6999999999998</v>
      </c>
      <c r="J183" s="93">
        <f t="shared" si="50"/>
        <v>100</v>
      </c>
    </row>
    <row r="184" spans="1:10" ht="26.4" x14ac:dyDescent="0.25">
      <c r="A184" s="1"/>
      <c r="B184" s="25"/>
      <c r="C184" s="21" t="s">
        <v>93</v>
      </c>
      <c r="D184" s="21" t="s">
        <v>98</v>
      </c>
      <c r="E184" s="21" t="s">
        <v>525</v>
      </c>
      <c r="F184" s="82"/>
      <c r="G184" s="97" t="s">
        <v>524</v>
      </c>
      <c r="H184" s="41">
        <f>H185</f>
        <v>529.4</v>
      </c>
      <c r="I184" s="41">
        <f>I185</f>
        <v>529.4</v>
      </c>
      <c r="J184" s="93">
        <f t="shared" si="50"/>
        <v>100</v>
      </c>
    </row>
    <row r="185" spans="1:10" ht="39.6" x14ac:dyDescent="0.25">
      <c r="A185" s="1"/>
      <c r="B185" s="25"/>
      <c r="C185" s="21" t="s">
        <v>93</v>
      </c>
      <c r="D185" s="21" t="s">
        <v>98</v>
      </c>
      <c r="E185" s="21" t="s">
        <v>525</v>
      </c>
      <c r="F185" s="82" t="s">
        <v>205</v>
      </c>
      <c r="G185" s="97" t="s">
        <v>206</v>
      </c>
      <c r="H185" s="41">
        <v>529.4</v>
      </c>
      <c r="I185" s="41">
        <v>529.4</v>
      </c>
      <c r="J185" s="93">
        <f t="shared" si="50"/>
        <v>100</v>
      </c>
    </row>
    <row r="186" spans="1:10" ht="26.4" x14ac:dyDescent="0.25">
      <c r="A186" s="1"/>
      <c r="B186" s="25"/>
      <c r="C186" s="21" t="s">
        <v>93</v>
      </c>
      <c r="D186" s="21" t="s">
        <v>98</v>
      </c>
      <c r="E186" s="21" t="s">
        <v>526</v>
      </c>
      <c r="F186" s="16"/>
      <c r="G186" s="97" t="s">
        <v>326</v>
      </c>
      <c r="H186" s="41">
        <f>H187</f>
        <v>385</v>
      </c>
      <c r="I186" s="41">
        <f>I187</f>
        <v>350</v>
      </c>
      <c r="J186" s="93">
        <f t="shared" si="50"/>
        <v>90.9</v>
      </c>
    </row>
    <row r="187" spans="1:10" ht="39.6" x14ac:dyDescent="0.25">
      <c r="A187" s="1"/>
      <c r="B187" s="25"/>
      <c r="C187" s="21" t="s">
        <v>93</v>
      </c>
      <c r="D187" s="21" t="s">
        <v>98</v>
      </c>
      <c r="E187" s="21" t="s">
        <v>526</v>
      </c>
      <c r="F187" s="82" t="s">
        <v>205</v>
      </c>
      <c r="G187" s="97" t="s">
        <v>206</v>
      </c>
      <c r="H187" s="41">
        <f>370+31-16</f>
        <v>385</v>
      </c>
      <c r="I187" s="41">
        <v>350</v>
      </c>
      <c r="J187" s="93">
        <f t="shared" si="50"/>
        <v>90.9</v>
      </c>
    </row>
    <row r="188" spans="1:10" ht="39.6" x14ac:dyDescent="0.25">
      <c r="A188" s="1"/>
      <c r="B188" s="25"/>
      <c r="C188" s="21" t="s">
        <v>93</v>
      </c>
      <c r="D188" s="21" t="s">
        <v>98</v>
      </c>
      <c r="E188" s="21" t="s">
        <v>585</v>
      </c>
      <c r="F188" s="82"/>
      <c r="G188" s="97" t="s">
        <v>584</v>
      </c>
      <c r="H188" s="41">
        <f>H189</f>
        <v>178</v>
      </c>
      <c r="I188" s="41">
        <f t="shared" ref="I188" si="59">I189</f>
        <v>178</v>
      </c>
      <c r="J188" s="93">
        <f t="shared" si="50"/>
        <v>100</v>
      </c>
    </row>
    <row r="189" spans="1:10" ht="39.6" x14ac:dyDescent="0.25">
      <c r="A189" s="1"/>
      <c r="B189" s="25"/>
      <c r="C189" s="21" t="s">
        <v>93</v>
      </c>
      <c r="D189" s="21" t="s">
        <v>98</v>
      </c>
      <c r="E189" s="21" t="s">
        <v>585</v>
      </c>
      <c r="F189" s="82" t="s">
        <v>205</v>
      </c>
      <c r="G189" s="97" t="s">
        <v>206</v>
      </c>
      <c r="H189" s="41">
        <v>178</v>
      </c>
      <c r="I189" s="41">
        <v>178</v>
      </c>
      <c r="J189" s="93">
        <f t="shared" si="50"/>
        <v>100</v>
      </c>
    </row>
    <row r="190" spans="1:10" ht="26.4" x14ac:dyDescent="0.25">
      <c r="A190" s="1"/>
      <c r="B190" s="25"/>
      <c r="C190" s="21" t="s">
        <v>93</v>
      </c>
      <c r="D190" s="21" t="s">
        <v>98</v>
      </c>
      <c r="E190" s="21" t="s">
        <v>587</v>
      </c>
      <c r="F190" s="82"/>
      <c r="G190" s="97" t="s">
        <v>588</v>
      </c>
      <c r="H190" s="41">
        <f>H191</f>
        <v>892.4</v>
      </c>
      <c r="I190" s="41">
        <f t="shared" ref="I190" si="60">I191</f>
        <v>892.4</v>
      </c>
      <c r="J190" s="93">
        <f t="shared" si="50"/>
        <v>100</v>
      </c>
    </row>
    <row r="191" spans="1:10" ht="39.6" x14ac:dyDescent="0.25">
      <c r="A191" s="1"/>
      <c r="B191" s="25"/>
      <c r="C191" s="21" t="s">
        <v>93</v>
      </c>
      <c r="D191" s="21" t="s">
        <v>98</v>
      </c>
      <c r="E191" s="21" t="s">
        <v>587</v>
      </c>
      <c r="F191" s="82" t="s">
        <v>205</v>
      </c>
      <c r="G191" s="97" t="s">
        <v>206</v>
      </c>
      <c r="H191" s="41">
        <f>990-45.4-52.2</f>
        <v>892.4</v>
      </c>
      <c r="I191" s="41">
        <v>892.4</v>
      </c>
      <c r="J191" s="93">
        <f t="shared" si="50"/>
        <v>100</v>
      </c>
    </row>
    <row r="192" spans="1:10" x14ac:dyDescent="0.25">
      <c r="A192" s="1"/>
      <c r="B192" s="25"/>
      <c r="C192" s="21" t="s">
        <v>93</v>
      </c>
      <c r="D192" s="21" t="s">
        <v>98</v>
      </c>
      <c r="E192" s="21" t="s">
        <v>633</v>
      </c>
      <c r="F192" s="82"/>
      <c r="G192" s="97" t="s">
        <v>586</v>
      </c>
      <c r="H192" s="41">
        <f>H193</f>
        <v>499</v>
      </c>
      <c r="I192" s="41">
        <f t="shared" ref="I192" si="61">I193</f>
        <v>499</v>
      </c>
      <c r="J192" s="93">
        <f t="shared" si="50"/>
        <v>100</v>
      </c>
    </row>
    <row r="193" spans="1:10" ht="39.6" x14ac:dyDescent="0.25">
      <c r="A193" s="1"/>
      <c r="B193" s="25"/>
      <c r="C193" s="21" t="s">
        <v>93</v>
      </c>
      <c r="D193" s="21" t="s">
        <v>98</v>
      </c>
      <c r="E193" s="21" t="s">
        <v>633</v>
      </c>
      <c r="F193" s="82" t="s">
        <v>205</v>
      </c>
      <c r="G193" s="97" t="s">
        <v>206</v>
      </c>
      <c r="H193" s="41">
        <f>600-98.6-2.4</f>
        <v>499</v>
      </c>
      <c r="I193" s="41">
        <v>499</v>
      </c>
      <c r="J193" s="93">
        <f t="shared" si="50"/>
        <v>100</v>
      </c>
    </row>
    <row r="194" spans="1:10" ht="66" x14ac:dyDescent="0.25">
      <c r="A194" s="1"/>
      <c r="B194" s="25"/>
      <c r="C194" s="21" t="s">
        <v>93</v>
      </c>
      <c r="D194" s="21" t="s">
        <v>98</v>
      </c>
      <c r="E194" s="51" t="s">
        <v>521</v>
      </c>
      <c r="F194" s="82"/>
      <c r="G194" s="97" t="s">
        <v>522</v>
      </c>
      <c r="H194" s="41">
        <f>H195+H197</f>
        <v>3072.1</v>
      </c>
      <c r="I194" s="41">
        <f t="shared" ref="I194" si="62">I195+I197</f>
        <v>3072</v>
      </c>
      <c r="J194" s="93">
        <f t="shared" si="50"/>
        <v>100</v>
      </c>
    </row>
    <row r="195" spans="1:10" ht="42" customHeight="1" x14ac:dyDescent="0.25">
      <c r="A195" s="1"/>
      <c r="B195" s="25"/>
      <c r="C195" s="21" t="s">
        <v>93</v>
      </c>
      <c r="D195" s="21" t="s">
        <v>98</v>
      </c>
      <c r="E195" s="51" t="s">
        <v>351</v>
      </c>
      <c r="F195" s="82"/>
      <c r="G195" s="97" t="s">
        <v>348</v>
      </c>
      <c r="H195" s="41">
        <f>H196</f>
        <v>307.2</v>
      </c>
      <c r="I195" s="41">
        <f>I196</f>
        <v>307.2</v>
      </c>
      <c r="J195" s="93">
        <f t="shared" si="50"/>
        <v>100</v>
      </c>
    </row>
    <row r="196" spans="1:10" ht="39.6" x14ac:dyDescent="0.25">
      <c r="A196" s="1"/>
      <c r="B196" s="25"/>
      <c r="C196" s="21" t="s">
        <v>93</v>
      </c>
      <c r="D196" s="21" t="s">
        <v>98</v>
      </c>
      <c r="E196" s="51" t="s">
        <v>351</v>
      </c>
      <c r="F196" s="82" t="s">
        <v>205</v>
      </c>
      <c r="G196" s="97" t="s">
        <v>206</v>
      </c>
      <c r="H196" s="39">
        <f>891.9-495.5-89.2</f>
        <v>307.2</v>
      </c>
      <c r="I196" s="39">
        <v>307.2</v>
      </c>
      <c r="J196" s="93">
        <f t="shared" si="50"/>
        <v>100</v>
      </c>
    </row>
    <row r="197" spans="1:10" ht="54.75" customHeight="1" x14ac:dyDescent="0.25">
      <c r="A197" s="1"/>
      <c r="B197" s="25"/>
      <c r="C197" s="21" t="s">
        <v>93</v>
      </c>
      <c r="D197" s="21" t="s">
        <v>98</v>
      </c>
      <c r="E197" s="51" t="s">
        <v>352</v>
      </c>
      <c r="F197" s="82"/>
      <c r="G197" s="97" t="s">
        <v>346</v>
      </c>
      <c r="H197" s="41">
        <f>H198</f>
        <v>2764.9</v>
      </c>
      <c r="I197" s="41">
        <f>I198</f>
        <v>2764.8</v>
      </c>
      <c r="J197" s="93">
        <f t="shared" si="50"/>
        <v>100</v>
      </c>
    </row>
    <row r="198" spans="1:10" ht="39.6" x14ac:dyDescent="0.25">
      <c r="A198" s="1"/>
      <c r="B198" s="25"/>
      <c r="C198" s="21" t="s">
        <v>93</v>
      </c>
      <c r="D198" s="21" t="s">
        <v>98</v>
      </c>
      <c r="E198" s="51" t="s">
        <v>352</v>
      </c>
      <c r="F198" s="82" t="s">
        <v>205</v>
      </c>
      <c r="G198" s="97" t="s">
        <v>206</v>
      </c>
      <c r="H198" s="41">
        <f>3567.5-802.6</f>
        <v>2764.9</v>
      </c>
      <c r="I198" s="41">
        <v>2764.8</v>
      </c>
      <c r="J198" s="93">
        <f t="shared" si="50"/>
        <v>100</v>
      </c>
    </row>
    <row r="199" spans="1:10" ht="27" x14ac:dyDescent="0.3">
      <c r="A199" s="1"/>
      <c r="B199" s="25"/>
      <c r="C199" s="30" t="s">
        <v>93</v>
      </c>
      <c r="D199" s="30" t="s">
        <v>121</v>
      </c>
      <c r="E199" s="30"/>
      <c r="F199" s="30"/>
      <c r="G199" s="46" t="s">
        <v>4</v>
      </c>
      <c r="H199" s="40">
        <f>H200+H211+H229</f>
        <v>3165.7000000000003</v>
      </c>
      <c r="I199" s="40">
        <f>I200+I211+I229</f>
        <v>3165.7000000000003</v>
      </c>
      <c r="J199" s="42">
        <f t="shared" si="50"/>
        <v>100</v>
      </c>
    </row>
    <row r="200" spans="1:10" ht="92.4" x14ac:dyDescent="0.25">
      <c r="A200" s="1"/>
      <c r="B200" s="25"/>
      <c r="C200" s="16" t="s">
        <v>93</v>
      </c>
      <c r="D200" s="16" t="s">
        <v>121</v>
      </c>
      <c r="E200" s="73" t="s">
        <v>70</v>
      </c>
      <c r="F200" s="16"/>
      <c r="G200" s="140" t="s">
        <v>564</v>
      </c>
      <c r="H200" s="95">
        <f t="shared" ref="H200:I200" si="63">H201</f>
        <v>421.70000000000005</v>
      </c>
      <c r="I200" s="95">
        <f t="shared" si="63"/>
        <v>421.70000000000005</v>
      </c>
      <c r="J200" s="62">
        <f t="shared" si="50"/>
        <v>100</v>
      </c>
    </row>
    <row r="201" spans="1:10" ht="39.6" x14ac:dyDescent="0.25">
      <c r="A201" s="1"/>
      <c r="B201" s="25"/>
      <c r="C201" s="16" t="s">
        <v>93</v>
      </c>
      <c r="D201" s="16" t="s">
        <v>121</v>
      </c>
      <c r="E201" s="52" t="s">
        <v>158</v>
      </c>
      <c r="F201" s="16"/>
      <c r="G201" s="48" t="s">
        <v>157</v>
      </c>
      <c r="H201" s="92">
        <f>H202+H206</f>
        <v>421.70000000000005</v>
      </c>
      <c r="I201" s="92">
        <f t="shared" ref="I201" si="64">I202+I206</f>
        <v>421.70000000000005</v>
      </c>
      <c r="J201" s="58">
        <f t="shared" si="50"/>
        <v>100</v>
      </c>
    </row>
    <row r="202" spans="1:10" ht="79.2" x14ac:dyDescent="0.25">
      <c r="A202" s="1"/>
      <c r="B202" s="25"/>
      <c r="C202" s="16" t="s">
        <v>93</v>
      </c>
      <c r="D202" s="16" t="s">
        <v>121</v>
      </c>
      <c r="E202" s="21" t="s">
        <v>242</v>
      </c>
      <c r="F202" s="16"/>
      <c r="G202" s="98" t="s">
        <v>304</v>
      </c>
      <c r="H202" s="41">
        <f t="shared" ref="H202:I202" si="65">H203</f>
        <v>180.5</v>
      </c>
      <c r="I202" s="41">
        <f t="shared" si="65"/>
        <v>180.5</v>
      </c>
      <c r="J202" s="93">
        <f t="shared" si="50"/>
        <v>100</v>
      </c>
    </row>
    <row r="203" spans="1:10" ht="53.4" x14ac:dyDescent="0.3">
      <c r="A203" s="1"/>
      <c r="B203" s="25"/>
      <c r="C203" s="16" t="s">
        <v>93</v>
      </c>
      <c r="D203" s="16" t="s">
        <v>121</v>
      </c>
      <c r="E203" s="21" t="s">
        <v>455</v>
      </c>
      <c r="F203" s="30"/>
      <c r="G203" s="96" t="s">
        <v>159</v>
      </c>
      <c r="H203" s="41">
        <f>SUM(H204:H205)</f>
        <v>180.5</v>
      </c>
      <c r="I203" s="41">
        <f t="shared" ref="I203" si="66">SUM(I204:I205)</f>
        <v>180.5</v>
      </c>
      <c r="J203" s="93">
        <f t="shared" si="50"/>
        <v>100</v>
      </c>
    </row>
    <row r="204" spans="1:10" ht="39.6" x14ac:dyDescent="0.25">
      <c r="A204" s="1"/>
      <c r="B204" s="25"/>
      <c r="C204" s="16" t="s">
        <v>93</v>
      </c>
      <c r="D204" s="16" t="s">
        <v>121</v>
      </c>
      <c r="E204" s="21" t="s">
        <v>455</v>
      </c>
      <c r="F204" s="82" t="s">
        <v>205</v>
      </c>
      <c r="G204" s="97" t="s">
        <v>206</v>
      </c>
      <c r="H204" s="39">
        <f>164+1.1</f>
        <v>165.1</v>
      </c>
      <c r="I204" s="39">
        <f>164+1.1</f>
        <v>165.1</v>
      </c>
      <c r="J204" s="93">
        <f t="shared" si="50"/>
        <v>100</v>
      </c>
    </row>
    <row r="205" spans="1:10" x14ac:dyDescent="0.25">
      <c r="A205" s="1"/>
      <c r="B205" s="25"/>
      <c r="C205" s="16" t="s">
        <v>93</v>
      </c>
      <c r="D205" s="16" t="s">
        <v>121</v>
      </c>
      <c r="E205" s="21" t="s">
        <v>455</v>
      </c>
      <c r="F205" s="82" t="s">
        <v>652</v>
      </c>
      <c r="G205" s="97" t="s">
        <v>653</v>
      </c>
      <c r="H205" s="41">
        <v>15.4</v>
      </c>
      <c r="I205" s="41">
        <v>15.4</v>
      </c>
      <c r="J205" s="93">
        <f t="shared" si="50"/>
        <v>100</v>
      </c>
    </row>
    <row r="206" spans="1:10" ht="26.4" x14ac:dyDescent="0.25">
      <c r="A206" s="1"/>
      <c r="B206" s="25"/>
      <c r="C206" s="16" t="s">
        <v>93</v>
      </c>
      <c r="D206" s="16" t="s">
        <v>121</v>
      </c>
      <c r="E206" s="21" t="s">
        <v>338</v>
      </c>
      <c r="F206" s="82"/>
      <c r="G206" s="98" t="s">
        <v>334</v>
      </c>
      <c r="H206" s="41">
        <f>H207+H209</f>
        <v>241.20000000000002</v>
      </c>
      <c r="I206" s="41">
        <f t="shared" ref="I206" si="67">I207+I209</f>
        <v>241.20000000000002</v>
      </c>
      <c r="J206" s="93">
        <f t="shared" ref="J206:J231" si="68">ROUND((I206/H206*100),1)</f>
        <v>100</v>
      </c>
    </row>
    <row r="207" spans="1:10" ht="40.200000000000003" x14ac:dyDescent="0.3">
      <c r="A207" s="1"/>
      <c r="B207" s="25"/>
      <c r="C207" s="16" t="s">
        <v>93</v>
      </c>
      <c r="D207" s="16" t="s">
        <v>121</v>
      </c>
      <c r="E207" s="82" t="s">
        <v>456</v>
      </c>
      <c r="F207" s="30"/>
      <c r="G207" s="96" t="s">
        <v>162</v>
      </c>
      <c r="H207" s="41">
        <f>H208</f>
        <v>27.9</v>
      </c>
      <c r="I207" s="41">
        <f t="shared" ref="I207" si="69">I208</f>
        <v>27.9</v>
      </c>
      <c r="J207" s="93">
        <f t="shared" si="68"/>
        <v>100</v>
      </c>
    </row>
    <row r="208" spans="1:10" ht="39.6" x14ac:dyDescent="0.25">
      <c r="A208" s="1"/>
      <c r="B208" s="25"/>
      <c r="C208" s="16" t="s">
        <v>93</v>
      </c>
      <c r="D208" s="16" t="s">
        <v>121</v>
      </c>
      <c r="E208" s="82" t="s">
        <v>456</v>
      </c>
      <c r="F208" s="82" t="s">
        <v>205</v>
      </c>
      <c r="G208" s="97" t="s">
        <v>206</v>
      </c>
      <c r="H208" s="41">
        <f>36-8.1</f>
        <v>27.9</v>
      </c>
      <c r="I208" s="41">
        <f>36-8.1</f>
        <v>27.9</v>
      </c>
      <c r="J208" s="93">
        <f t="shared" si="68"/>
        <v>100</v>
      </c>
    </row>
    <row r="209" spans="1:10" ht="66" x14ac:dyDescent="0.25">
      <c r="A209" s="1"/>
      <c r="B209" s="25"/>
      <c r="C209" s="16" t="s">
        <v>93</v>
      </c>
      <c r="D209" s="16" t="s">
        <v>121</v>
      </c>
      <c r="E209" s="82" t="s">
        <v>599</v>
      </c>
      <c r="F209" s="82"/>
      <c r="G209" s="97" t="s">
        <v>603</v>
      </c>
      <c r="H209" s="41">
        <f>H210</f>
        <v>213.3</v>
      </c>
      <c r="I209" s="41">
        <f t="shared" ref="I209" si="70">I210</f>
        <v>213.3</v>
      </c>
      <c r="J209" s="93">
        <f t="shared" si="68"/>
        <v>100</v>
      </c>
    </row>
    <row r="210" spans="1:10" ht="39.6" x14ac:dyDescent="0.25">
      <c r="A210" s="1"/>
      <c r="B210" s="25"/>
      <c r="C210" s="16" t="s">
        <v>93</v>
      </c>
      <c r="D210" s="16" t="s">
        <v>121</v>
      </c>
      <c r="E210" s="82" t="s">
        <v>599</v>
      </c>
      <c r="F210" s="82" t="s">
        <v>205</v>
      </c>
      <c r="G210" s="97" t="s">
        <v>206</v>
      </c>
      <c r="H210" s="41">
        <f>250-43.7+7</f>
        <v>213.3</v>
      </c>
      <c r="I210" s="41">
        <f>250-43.7+7</f>
        <v>213.3</v>
      </c>
      <c r="J210" s="93">
        <f t="shared" si="68"/>
        <v>100</v>
      </c>
    </row>
    <row r="211" spans="1:10" ht="92.4" x14ac:dyDescent="0.25">
      <c r="A211" s="1"/>
      <c r="B211" s="25"/>
      <c r="C211" s="5" t="s">
        <v>93</v>
      </c>
      <c r="D211" s="5" t="s">
        <v>121</v>
      </c>
      <c r="E211" s="76">
        <v>400000000</v>
      </c>
      <c r="F211" s="16"/>
      <c r="G211" s="139" t="s">
        <v>563</v>
      </c>
      <c r="H211" s="95">
        <f t="shared" ref="H211:I211" si="71">H212</f>
        <v>1387.6000000000001</v>
      </c>
      <c r="I211" s="95">
        <f t="shared" si="71"/>
        <v>1387.6000000000001</v>
      </c>
      <c r="J211" s="62">
        <f t="shared" si="68"/>
        <v>100</v>
      </c>
    </row>
    <row r="212" spans="1:10" ht="52.5" customHeight="1" x14ac:dyDescent="0.3">
      <c r="A212" s="1"/>
      <c r="B212" s="25"/>
      <c r="C212" s="47" t="s">
        <v>93</v>
      </c>
      <c r="D212" s="47" t="s">
        <v>121</v>
      </c>
      <c r="E212" s="75">
        <v>410000000</v>
      </c>
      <c r="F212" s="30"/>
      <c r="G212" s="46" t="s">
        <v>457</v>
      </c>
      <c r="H212" s="92">
        <f>H213+H220</f>
        <v>1387.6000000000001</v>
      </c>
      <c r="I212" s="92">
        <f>I213+I220</f>
        <v>1387.6000000000001</v>
      </c>
      <c r="J212" s="58">
        <f t="shared" si="68"/>
        <v>100</v>
      </c>
    </row>
    <row r="213" spans="1:10" ht="53.4" x14ac:dyDescent="0.3">
      <c r="A213" s="1"/>
      <c r="B213" s="25"/>
      <c r="C213" s="16" t="s">
        <v>93</v>
      </c>
      <c r="D213" s="16" t="s">
        <v>121</v>
      </c>
      <c r="E213" s="74">
        <v>410200000</v>
      </c>
      <c r="F213" s="30"/>
      <c r="G213" s="96" t="s">
        <v>461</v>
      </c>
      <c r="H213" s="39">
        <f>H214+H216+H218</f>
        <v>187.7</v>
      </c>
      <c r="I213" s="39">
        <f>I214+I216+I218</f>
        <v>187.7</v>
      </c>
      <c r="J213" s="93">
        <f t="shared" si="68"/>
        <v>100</v>
      </c>
    </row>
    <row r="214" spans="1:10" ht="79.2" x14ac:dyDescent="0.25">
      <c r="A214" s="1"/>
      <c r="B214" s="25"/>
      <c r="C214" s="16" t="s">
        <v>93</v>
      </c>
      <c r="D214" s="16" t="s">
        <v>121</v>
      </c>
      <c r="E214" s="133" t="s">
        <v>627</v>
      </c>
      <c r="F214" s="82"/>
      <c r="G214" s="97" t="s">
        <v>578</v>
      </c>
      <c r="H214" s="39">
        <f t="shared" ref="H214:I214" si="72">H215</f>
        <v>75.2</v>
      </c>
      <c r="I214" s="39">
        <f t="shared" si="72"/>
        <v>75.2</v>
      </c>
      <c r="J214" s="93">
        <f t="shared" si="68"/>
        <v>100</v>
      </c>
    </row>
    <row r="215" spans="1:10" ht="39.6" x14ac:dyDescent="0.25">
      <c r="A215" s="1"/>
      <c r="B215" s="25"/>
      <c r="C215" s="16" t="s">
        <v>93</v>
      </c>
      <c r="D215" s="16" t="s">
        <v>121</v>
      </c>
      <c r="E215" s="133" t="s">
        <v>627</v>
      </c>
      <c r="F215" s="82" t="s">
        <v>205</v>
      </c>
      <c r="G215" s="97" t="s">
        <v>206</v>
      </c>
      <c r="H215" s="39">
        <f>50+5+20.2</f>
        <v>75.2</v>
      </c>
      <c r="I215" s="39">
        <f>50+5+20.2</f>
        <v>75.2</v>
      </c>
      <c r="J215" s="93">
        <f t="shared" si="68"/>
        <v>100</v>
      </c>
    </row>
    <row r="216" spans="1:10" ht="26.4" x14ac:dyDescent="0.25">
      <c r="A216" s="1"/>
      <c r="B216" s="25"/>
      <c r="C216" s="16" t="s">
        <v>93</v>
      </c>
      <c r="D216" s="16" t="s">
        <v>121</v>
      </c>
      <c r="E216" s="133" t="s">
        <v>626</v>
      </c>
      <c r="F216" s="82"/>
      <c r="G216" s="97" t="s">
        <v>459</v>
      </c>
      <c r="H216" s="39">
        <f>H217</f>
        <v>30</v>
      </c>
      <c r="I216" s="39">
        <f>I217</f>
        <v>30</v>
      </c>
      <c r="J216" s="93">
        <f t="shared" si="68"/>
        <v>100</v>
      </c>
    </row>
    <row r="217" spans="1:10" ht="39.6" x14ac:dyDescent="0.25">
      <c r="A217" s="1"/>
      <c r="B217" s="25"/>
      <c r="C217" s="16" t="s">
        <v>93</v>
      </c>
      <c r="D217" s="16" t="s">
        <v>121</v>
      </c>
      <c r="E217" s="133" t="s">
        <v>626</v>
      </c>
      <c r="F217" s="82" t="s">
        <v>205</v>
      </c>
      <c r="G217" s="97" t="s">
        <v>206</v>
      </c>
      <c r="H217" s="39">
        <v>30</v>
      </c>
      <c r="I217" s="39">
        <v>30</v>
      </c>
      <c r="J217" s="93">
        <f t="shared" si="68"/>
        <v>100</v>
      </c>
    </row>
    <row r="218" spans="1:10" ht="39.6" x14ac:dyDescent="0.25">
      <c r="A218" s="1"/>
      <c r="B218" s="25"/>
      <c r="C218" s="16" t="s">
        <v>93</v>
      </c>
      <c r="D218" s="16" t="s">
        <v>121</v>
      </c>
      <c r="E218" s="133" t="s">
        <v>625</v>
      </c>
      <c r="F218" s="82"/>
      <c r="G218" s="97" t="s">
        <v>579</v>
      </c>
      <c r="H218" s="39">
        <f>H219</f>
        <v>82.5</v>
      </c>
      <c r="I218" s="39">
        <f t="shared" ref="I218" si="73">I219</f>
        <v>82.5</v>
      </c>
      <c r="J218" s="93">
        <f t="shared" si="68"/>
        <v>100</v>
      </c>
    </row>
    <row r="219" spans="1:10" ht="39.6" x14ac:dyDescent="0.25">
      <c r="A219" s="1"/>
      <c r="B219" s="25"/>
      <c r="C219" s="16" t="s">
        <v>93</v>
      </c>
      <c r="D219" s="16" t="s">
        <v>121</v>
      </c>
      <c r="E219" s="133" t="s">
        <v>625</v>
      </c>
      <c r="F219" s="82" t="s">
        <v>205</v>
      </c>
      <c r="G219" s="97" t="s">
        <v>206</v>
      </c>
      <c r="H219" s="39">
        <v>82.5</v>
      </c>
      <c r="I219" s="39">
        <v>82.5</v>
      </c>
      <c r="J219" s="93">
        <f t="shared" si="68"/>
        <v>100</v>
      </c>
    </row>
    <row r="220" spans="1:10" ht="52.8" x14ac:dyDescent="0.25">
      <c r="A220" s="1"/>
      <c r="B220" s="25"/>
      <c r="C220" s="16" t="s">
        <v>93</v>
      </c>
      <c r="D220" s="16" t="s">
        <v>121</v>
      </c>
      <c r="E220" s="133" t="s">
        <v>463</v>
      </c>
      <c r="F220" s="82"/>
      <c r="G220" s="96" t="s">
        <v>462</v>
      </c>
      <c r="H220" s="39">
        <f>H221+H223+H225+H227</f>
        <v>1199.9000000000001</v>
      </c>
      <c r="I220" s="39">
        <f>I221+I223+I225+I227</f>
        <v>1199.9000000000001</v>
      </c>
      <c r="J220" s="93">
        <f t="shared" si="68"/>
        <v>100</v>
      </c>
    </row>
    <row r="221" spans="1:10" ht="66" x14ac:dyDescent="0.25">
      <c r="A221" s="1"/>
      <c r="B221" s="25"/>
      <c r="C221" s="16" t="s">
        <v>93</v>
      </c>
      <c r="D221" s="16" t="s">
        <v>121</v>
      </c>
      <c r="E221" s="133" t="s">
        <v>628</v>
      </c>
      <c r="F221" s="82"/>
      <c r="G221" s="97" t="s">
        <v>580</v>
      </c>
      <c r="H221" s="39">
        <f>H222</f>
        <v>150</v>
      </c>
      <c r="I221" s="39">
        <f t="shared" ref="I221" si="74">I222</f>
        <v>150</v>
      </c>
      <c r="J221" s="93">
        <f t="shared" si="68"/>
        <v>100</v>
      </c>
    </row>
    <row r="222" spans="1:10" ht="66" x14ac:dyDescent="0.25">
      <c r="A222" s="1"/>
      <c r="B222" s="25"/>
      <c r="C222" s="16" t="s">
        <v>93</v>
      </c>
      <c r="D222" s="16" t="s">
        <v>121</v>
      </c>
      <c r="E222" s="133" t="s">
        <v>628</v>
      </c>
      <c r="F222" s="16" t="s">
        <v>12</v>
      </c>
      <c r="G222" s="97" t="s">
        <v>361</v>
      </c>
      <c r="H222" s="39">
        <v>150</v>
      </c>
      <c r="I222" s="39">
        <v>150</v>
      </c>
      <c r="J222" s="93">
        <f t="shared" si="68"/>
        <v>100</v>
      </c>
    </row>
    <row r="223" spans="1:10" ht="104.25" customHeight="1" x14ac:dyDescent="0.25">
      <c r="A223" s="1"/>
      <c r="B223" s="25"/>
      <c r="C223" s="16" t="s">
        <v>93</v>
      </c>
      <c r="D223" s="16" t="s">
        <v>121</v>
      </c>
      <c r="E223" s="133" t="s">
        <v>629</v>
      </c>
      <c r="F223" s="82"/>
      <c r="G223" s="97" t="s">
        <v>464</v>
      </c>
      <c r="H223" s="39">
        <f>H224</f>
        <v>80</v>
      </c>
      <c r="I223" s="39">
        <f t="shared" ref="I223" si="75">I224</f>
        <v>80</v>
      </c>
      <c r="J223" s="93">
        <f t="shared" si="68"/>
        <v>100</v>
      </c>
    </row>
    <row r="224" spans="1:10" ht="66" x14ac:dyDescent="0.25">
      <c r="A224" s="1"/>
      <c r="B224" s="25"/>
      <c r="C224" s="16" t="s">
        <v>93</v>
      </c>
      <c r="D224" s="16" t="s">
        <v>121</v>
      </c>
      <c r="E224" s="133" t="s">
        <v>629</v>
      </c>
      <c r="F224" s="16" t="s">
        <v>12</v>
      </c>
      <c r="G224" s="97" t="s">
        <v>361</v>
      </c>
      <c r="H224" s="39">
        <v>80</v>
      </c>
      <c r="I224" s="39">
        <v>80</v>
      </c>
      <c r="J224" s="93">
        <f t="shared" si="68"/>
        <v>100</v>
      </c>
    </row>
    <row r="225" spans="1:10" ht="105.6" x14ac:dyDescent="0.25">
      <c r="A225" s="1"/>
      <c r="B225" s="25"/>
      <c r="C225" s="16" t="s">
        <v>93</v>
      </c>
      <c r="D225" s="16" t="s">
        <v>121</v>
      </c>
      <c r="E225" s="133" t="s">
        <v>630</v>
      </c>
      <c r="F225" s="82"/>
      <c r="G225" s="97" t="s">
        <v>465</v>
      </c>
      <c r="H225" s="39">
        <f>H226</f>
        <v>700</v>
      </c>
      <c r="I225" s="39">
        <f t="shared" ref="I225" si="76">I226</f>
        <v>700</v>
      </c>
      <c r="J225" s="93">
        <f t="shared" si="68"/>
        <v>100</v>
      </c>
    </row>
    <row r="226" spans="1:10" ht="66" x14ac:dyDescent="0.25">
      <c r="A226" s="1"/>
      <c r="B226" s="25"/>
      <c r="C226" s="16" t="s">
        <v>93</v>
      </c>
      <c r="D226" s="16" t="s">
        <v>121</v>
      </c>
      <c r="E226" s="133" t="s">
        <v>630</v>
      </c>
      <c r="F226" s="16" t="s">
        <v>12</v>
      </c>
      <c r="G226" s="97" t="s">
        <v>361</v>
      </c>
      <c r="H226" s="39">
        <v>700</v>
      </c>
      <c r="I226" s="39">
        <v>700</v>
      </c>
      <c r="J226" s="93">
        <f t="shared" si="68"/>
        <v>100</v>
      </c>
    </row>
    <row r="227" spans="1:10" ht="95.25" customHeight="1" x14ac:dyDescent="0.25">
      <c r="A227" s="1"/>
      <c r="B227" s="25"/>
      <c r="C227" s="16" t="s">
        <v>93</v>
      </c>
      <c r="D227" s="16" t="s">
        <v>121</v>
      </c>
      <c r="E227" s="133" t="s">
        <v>631</v>
      </c>
      <c r="F227" s="16"/>
      <c r="G227" s="97" t="s">
        <v>581</v>
      </c>
      <c r="H227" s="39">
        <f>H228</f>
        <v>269.89999999999998</v>
      </c>
      <c r="I227" s="39">
        <f t="shared" ref="I227" si="77">I228</f>
        <v>269.89999999999998</v>
      </c>
      <c r="J227" s="93">
        <f t="shared" si="68"/>
        <v>100</v>
      </c>
    </row>
    <row r="228" spans="1:10" ht="66" x14ac:dyDescent="0.25">
      <c r="A228" s="1"/>
      <c r="B228" s="25"/>
      <c r="C228" s="16" t="s">
        <v>93</v>
      </c>
      <c r="D228" s="16" t="s">
        <v>121</v>
      </c>
      <c r="E228" s="133" t="s">
        <v>631</v>
      </c>
      <c r="F228" s="16" t="s">
        <v>12</v>
      </c>
      <c r="G228" s="97" t="s">
        <v>361</v>
      </c>
      <c r="H228" s="39">
        <f>356-86.1</f>
        <v>269.89999999999998</v>
      </c>
      <c r="I228" s="39">
        <f>356-86.1</f>
        <v>269.89999999999998</v>
      </c>
      <c r="J228" s="93">
        <f t="shared" si="68"/>
        <v>100</v>
      </c>
    </row>
    <row r="229" spans="1:10" ht="79.2" x14ac:dyDescent="0.25">
      <c r="A229" s="1"/>
      <c r="B229" s="25"/>
      <c r="C229" s="5" t="s">
        <v>93</v>
      </c>
      <c r="D229" s="5" t="s">
        <v>121</v>
      </c>
      <c r="E229" s="73" t="s">
        <v>141</v>
      </c>
      <c r="F229" s="16"/>
      <c r="G229" s="63" t="s">
        <v>567</v>
      </c>
      <c r="H229" s="95">
        <f t="shared" ref="H229:I229" si="78">H230</f>
        <v>1356.4</v>
      </c>
      <c r="I229" s="95">
        <f t="shared" si="78"/>
        <v>1356.4</v>
      </c>
      <c r="J229" s="62">
        <f t="shared" si="68"/>
        <v>100</v>
      </c>
    </row>
    <row r="230" spans="1:10" ht="66" x14ac:dyDescent="0.25">
      <c r="A230" s="1"/>
      <c r="B230" s="25"/>
      <c r="C230" s="47" t="s">
        <v>93</v>
      </c>
      <c r="D230" s="47" t="s">
        <v>121</v>
      </c>
      <c r="E230" s="52" t="s">
        <v>142</v>
      </c>
      <c r="F230" s="16"/>
      <c r="G230" s="48" t="s">
        <v>537</v>
      </c>
      <c r="H230" s="92">
        <f>H231</f>
        <v>1356.4</v>
      </c>
      <c r="I230" s="92">
        <f>I231</f>
        <v>1356.4</v>
      </c>
      <c r="J230" s="58">
        <f t="shared" si="68"/>
        <v>100</v>
      </c>
    </row>
    <row r="231" spans="1:10" ht="92.4" x14ac:dyDescent="0.25">
      <c r="A231" s="1"/>
      <c r="B231" s="25"/>
      <c r="C231" s="16" t="s">
        <v>93</v>
      </c>
      <c r="D231" s="16" t="s">
        <v>121</v>
      </c>
      <c r="E231" s="21" t="s">
        <v>204</v>
      </c>
      <c r="F231" s="16"/>
      <c r="G231" s="98" t="s">
        <v>496</v>
      </c>
      <c r="H231" s="39">
        <f>H232+H234+H236</f>
        <v>1356.4</v>
      </c>
      <c r="I231" s="39">
        <f>I232+I234+I236</f>
        <v>1356.4</v>
      </c>
      <c r="J231" s="93">
        <f t="shared" si="68"/>
        <v>100</v>
      </c>
    </row>
    <row r="232" spans="1:10" ht="78" customHeight="1" x14ac:dyDescent="0.25">
      <c r="A232" s="1"/>
      <c r="B232" s="25"/>
      <c r="C232" s="16" t="s">
        <v>93</v>
      </c>
      <c r="D232" s="16" t="s">
        <v>121</v>
      </c>
      <c r="E232" s="74">
        <v>810123102</v>
      </c>
      <c r="F232" s="16"/>
      <c r="G232" s="98" t="s">
        <v>497</v>
      </c>
      <c r="H232" s="39">
        <f>H233</f>
        <v>591</v>
      </c>
      <c r="I232" s="39">
        <f>I233</f>
        <v>591</v>
      </c>
      <c r="J232" s="39">
        <f>J233</f>
        <v>0</v>
      </c>
    </row>
    <row r="233" spans="1:10" ht="39.6" x14ac:dyDescent="0.25">
      <c r="A233" s="1"/>
      <c r="B233" s="25"/>
      <c r="C233" s="16" t="s">
        <v>93</v>
      </c>
      <c r="D233" s="16" t="s">
        <v>121</v>
      </c>
      <c r="E233" s="74">
        <v>810123102</v>
      </c>
      <c r="F233" s="82" t="s">
        <v>205</v>
      </c>
      <c r="G233" s="97" t="s">
        <v>206</v>
      </c>
      <c r="H233" s="39">
        <v>591</v>
      </c>
      <c r="I233" s="39">
        <v>591</v>
      </c>
      <c r="J233" s="39">
        <v>0</v>
      </c>
    </row>
    <row r="234" spans="1:10" ht="79.2" x14ac:dyDescent="0.25">
      <c r="A234" s="1"/>
      <c r="B234" s="25"/>
      <c r="C234" s="16" t="s">
        <v>93</v>
      </c>
      <c r="D234" s="16" t="s">
        <v>121</v>
      </c>
      <c r="E234" s="74">
        <v>810123103</v>
      </c>
      <c r="F234" s="82"/>
      <c r="G234" s="97" t="s">
        <v>498</v>
      </c>
      <c r="H234" s="39">
        <f t="shared" ref="H234:J234" si="79">H235</f>
        <v>435</v>
      </c>
      <c r="I234" s="39">
        <f t="shared" si="79"/>
        <v>435</v>
      </c>
      <c r="J234" s="39">
        <f t="shared" si="79"/>
        <v>0</v>
      </c>
    </row>
    <row r="235" spans="1:10" ht="39.6" x14ac:dyDescent="0.25">
      <c r="A235" s="1"/>
      <c r="B235" s="25"/>
      <c r="C235" s="16" t="s">
        <v>93</v>
      </c>
      <c r="D235" s="16" t="s">
        <v>121</v>
      </c>
      <c r="E235" s="74">
        <v>810123103</v>
      </c>
      <c r="F235" s="82" t="s">
        <v>205</v>
      </c>
      <c r="G235" s="97" t="s">
        <v>206</v>
      </c>
      <c r="H235" s="39">
        <v>435</v>
      </c>
      <c r="I235" s="39">
        <v>435</v>
      </c>
      <c r="J235" s="39">
        <v>0</v>
      </c>
    </row>
    <row r="236" spans="1:10" ht="92.4" x14ac:dyDescent="0.25">
      <c r="A236" s="1"/>
      <c r="B236" s="25"/>
      <c r="C236" s="16" t="s">
        <v>93</v>
      </c>
      <c r="D236" s="16" t="s">
        <v>121</v>
      </c>
      <c r="E236" s="74">
        <v>810123104</v>
      </c>
      <c r="F236" s="82"/>
      <c r="G236" s="97" t="s">
        <v>499</v>
      </c>
      <c r="H236" s="39">
        <f>H237</f>
        <v>330.4</v>
      </c>
      <c r="I236" s="39">
        <f t="shared" ref="I236" si="80">I237</f>
        <v>330.4</v>
      </c>
      <c r="J236" s="39">
        <f t="shared" ref="J236" si="81">J237</f>
        <v>0</v>
      </c>
    </row>
    <row r="237" spans="1:10" ht="39.6" x14ac:dyDescent="0.25">
      <c r="A237" s="1"/>
      <c r="B237" s="25"/>
      <c r="C237" s="16" t="s">
        <v>93</v>
      </c>
      <c r="D237" s="16" t="s">
        <v>121</v>
      </c>
      <c r="E237" s="74">
        <v>810123104</v>
      </c>
      <c r="F237" s="82" t="s">
        <v>205</v>
      </c>
      <c r="G237" s="97" t="s">
        <v>206</v>
      </c>
      <c r="H237" s="39">
        <f>295.4+35</f>
        <v>330.4</v>
      </c>
      <c r="I237" s="39">
        <f>295.4+35</f>
        <v>330.4</v>
      </c>
      <c r="J237" s="39">
        <v>0</v>
      </c>
    </row>
    <row r="238" spans="1:10" ht="28.2" x14ac:dyDescent="0.3">
      <c r="A238" s="1"/>
      <c r="B238" s="25"/>
      <c r="C238" s="4" t="s">
        <v>94</v>
      </c>
      <c r="D238" s="3"/>
      <c r="E238" s="3"/>
      <c r="F238" s="3"/>
      <c r="G238" s="49" t="s">
        <v>48</v>
      </c>
      <c r="H238" s="91">
        <f>H239+H266+H308+H374</f>
        <v>91385.400000000009</v>
      </c>
      <c r="I238" s="210">
        <f>I239+I266+I308+I374</f>
        <v>89344.6</v>
      </c>
      <c r="J238" s="186">
        <f t="shared" ref="J238:J302" si="82">ROUND((I238/H238*100),1)</f>
        <v>97.8</v>
      </c>
    </row>
    <row r="239" spans="1:10" ht="14.4" x14ac:dyDescent="0.3">
      <c r="A239" s="1"/>
      <c r="B239" s="25"/>
      <c r="C239" s="30" t="s">
        <v>94</v>
      </c>
      <c r="D239" s="30" t="s">
        <v>87</v>
      </c>
      <c r="E239" s="30"/>
      <c r="F239" s="30"/>
      <c r="G239" s="27" t="s">
        <v>43</v>
      </c>
      <c r="H239" s="40">
        <f>H240</f>
        <v>9279.4</v>
      </c>
      <c r="I239" s="40">
        <f>I240</f>
        <v>8737.2000000000007</v>
      </c>
      <c r="J239" s="42">
        <f t="shared" si="82"/>
        <v>94.2</v>
      </c>
    </row>
    <row r="240" spans="1:10" ht="79.2" x14ac:dyDescent="0.25">
      <c r="A240" s="1"/>
      <c r="B240" s="25"/>
      <c r="C240" s="5" t="s">
        <v>94</v>
      </c>
      <c r="D240" s="5" t="s">
        <v>87</v>
      </c>
      <c r="E240" s="73" t="s">
        <v>149</v>
      </c>
      <c r="F240" s="16"/>
      <c r="G240" s="139" t="s">
        <v>562</v>
      </c>
      <c r="H240" s="95">
        <f>H241+H249+H259</f>
        <v>9279.4</v>
      </c>
      <c r="I240" s="95">
        <f>I241+I249+I259</f>
        <v>8737.2000000000007</v>
      </c>
      <c r="J240" s="62">
        <f t="shared" si="82"/>
        <v>94.2</v>
      </c>
    </row>
    <row r="241" spans="1:10" ht="39.6" x14ac:dyDescent="0.25">
      <c r="A241" s="1"/>
      <c r="B241" s="25"/>
      <c r="C241" s="47" t="s">
        <v>94</v>
      </c>
      <c r="D241" s="47" t="s">
        <v>87</v>
      </c>
      <c r="E241" s="52" t="s">
        <v>145</v>
      </c>
      <c r="F241" s="16"/>
      <c r="G241" s="48" t="s">
        <v>291</v>
      </c>
      <c r="H241" s="92">
        <f>H242+H246</f>
        <v>2195.5</v>
      </c>
      <c r="I241" s="92">
        <f t="shared" ref="I241" si="83">I242+I246</f>
        <v>1940.4</v>
      </c>
      <c r="J241" s="58">
        <f t="shared" si="82"/>
        <v>88.4</v>
      </c>
    </row>
    <row r="242" spans="1:10" ht="39.6" x14ac:dyDescent="0.25">
      <c r="A242" s="1"/>
      <c r="B242" s="25"/>
      <c r="C242" s="82" t="s">
        <v>94</v>
      </c>
      <c r="D242" s="82" t="s">
        <v>87</v>
      </c>
      <c r="E242" s="21" t="s">
        <v>258</v>
      </c>
      <c r="F242" s="16"/>
      <c r="G242" s="98" t="s">
        <v>260</v>
      </c>
      <c r="H242" s="92">
        <f>H243</f>
        <v>1741.2</v>
      </c>
      <c r="I242" s="92">
        <f>I243</f>
        <v>1486.1000000000001</v>
      </c>
      <c r="J242" s="93">
        <f t="shared" si="82"/>
        <v>85.3</v>
      </c>
    </row>
    <row r="243" spans="1:10" ht="52.8" x14ac:dyDescent="0.3">
      <c r="A243" s="1"/>
      <c r="B243" s="25"/>
      <c r="C243" s="16" t="s">
        <v>94</v>
      </c>
      <c r="D243" s="16" t="s">
        <v>87</v>
      </c>
      <c r="E243" s="134" t="s">
        <v>473</v>
      </c>
      <c r="F243" s="3"/>
      <c r="G243" s="97" t="s">
        <v>259</v>
      </c>
      <c r="H243" s="41">
        <f>SUM(H244:H245)</f>
        <v>1741.2</v>
      </c>
      <c r="I243" s="41">
        <f t="shared" ref="I243" si="84">SUM(I244:I245)</f>
        <v>1486.1000000000001</v>
      </c>
      <c r="J243" s="93">
        <f t="shared" si="82"/>
        <v>85.3</v>
      </c>
    </row>
    <row r="244" spans="1:10" ht="39.6" x14ac:dyDescent="0.25">
      <c r="A244" s="1"/>
      <c r="B244" s="25"/>
      <c r="C244" s="16" t="s">
        <v>94</v>
      </c>
      <c r="D244" s="16" t="s">
        <v>87</v>
      </c>
      <c r="E244" s="134" t="s">
        <v>473</v>
      </c>
      <c r="F244" s="82" t="s">
        <v>205</v>
      </c>
      <c r="G244" s="97" t="s">
        <v>206</v>
      </c>
      <c r="H244" s="41">
        <f>100+853.3+72.8+2.5+693.5+7.2</f>
        <v>1729.3</v>
      </c>
      <c r="I244" s="41">
        <v>1474.2</v>
      </c>
      <c r="J244" s="93">
        <f t="shared" si="82"/>
        <v>85.2</v>
      </c>
    </row>
    <row r="245" spans="1:10" x14ac:dyDescent="0.25">
      <c r="A245" s="1"/>
      <c r="B245" s="25"/>
      <c r="C245" s="16" t="s">
        <v>94</v>
      </c>
      <c r="D245" s="16" t="s">
        <v>87</v>
      </c>
      <c r="E245" s="134" t="s">
        <v>473</v>
      </c>
      <c r="F245" s="82" t="s">
        <v>652</v>
      </c>
      <c r="G245" s="97" t="s">
        <v>653</v>
      </c>
      <c r="H245" s="41">
        <f>7.6+4.3</f>
        <v>11.899999999999999</v>
      </c>
      <c r="I245" s="41">
        <v>11.9</v>
      </c>
      <c r="J245" s="93">
        <f t="shared" si="82"/>
        <v>100</v>
      </c>
    </row>
    <row r="246" spans="1:10" ht="39.6" x14ac:dyDescent="0.25">
      <c r="A246" s="1"/>
      <c r="B246" s="25"/>
      <c r="C246" s="16" t="s">
        <v>94</v>
      </c>
      <c r="D246" s="16" t="s">
        <v>87</v>
      </c>
      <c r="E246" s="21" t="s">
        <v>292</v>
      </c>
      <c r="F246" s="16"/>
      <c r="G246" s="98" t="s">
        <v>261</v>
      </c>
      <c r="H246" s="92">
        <f t="shared" ref="H246:I246" si="85">H247</f>
        <v>454.3</v>
      </c>
      <c r="I246" s="92">
        <f t="shared" si="85"/>
        <v>454.3</v>
      </c>
      <c r="J246" s="93">
        <f t="shared" si="82"/>
        <v>100</v>
      </c>
    </row>
    <row r="247" spans="1:10" ht="26.4" x14ac:dyDescent="0.3">
      <c r="A247" s="1"/>
      <c r="B247" s="25"/>
      <c r="C247" s="16" t="s">
        <v>94</v>
      </c>
      <c r="D247" s="16" t="s">
        <v>87</v>
      </c>
      <c r="E247" s="21" t="s">
        <v>474</v>
      </c>
      <c r="F247" s="3"/>
      <c r="G247" s="97" t="s">
        <v>332</v>
      </c>
      <c r="H247" s="41">
        <f>H248</f>
        <v>454.3</v>
      </c>
      <c r="I247" s="41">
        <f>I248</f>
        <v>454.3</v>
      </c>
      <c r="J247" s="93">
        <f t="shared" si="82"/>
        <v>100</v>
      </c>
    </row>
    <row r="248" spans="1:10" ht="39.6" x14ac:dyDescent="0.25">
      <c r="A248" s="1"/>
      <c r="B248" s="25"/>
      <c r="C248" s="16" t="s">
        <v>94</v>
      </c>
      <c r="D248" s="16" t="s">
        <v>87</v>
      </c>
      <c r="E248" s="21" t="s">
        <v>474</v>
      </c>
      <c r="F248" s="82" t="s">
        <v>205</v>
      </c>
      <c r="G248" s="97" t="s">
        <v>206</v>
      </c>
      <c r="H248" s="39">
        <f>800-222.5-123.2</f>
        <v>454.3</v>
      </c>
      <c r="I248" s="39">
        <v>454.3</v>
      </c>
      <c r="J248" s="93">
        <f t="shared" si="82"/>
        <v>100</v>
      </c>
    </row>
    <row r="249" spans="1:10" ht="39.6" x14ac:dyDescent="0.25">
      <c r="A249" s="1"/>
      <c r="B249" s="25"/>
      <c r="C249" s="47" t="s">
        <v>94</v>
      </c>
      <c r="D249" s="47" t="s">
        <v>87</v>
      </c>
      <c r="E249" s="52" t="s">
        <v>146</v>
      </c>
      <c r="F249" s="16"/>
      <c r="G249" s="48" t="s">
        <v>143</v>
      </c>
      <c r="H249" s="92">
        <f>H250+H255</f>
        <v>3549.5999999999995</v>
      </c>
      <c r="I249" s="92">
        <f>I250+I255</f>
        <v>3549.5999999999995</v>
      </c>
      <c r="J249" s="58">
        <f t="shared" si="82"/>
        <v>100</v>
      </c>
    </row>
    <row r="250" spans="1:10" ht="26.4" x14ac:dyDescent="0.25">
      <c r="A250" s="1"/>
      <c r="B250" s="25"/>
      <c r="C250" s="16" t="s">
        <v>94</v>
      </c>
      <c r="D250" s="16" t="s">
        <v>87</v>
      </c>
      <c r="E250" s="21" t="s">
        <v>262</v>
      </c>
      <c r="F250" s="82"/>
      <c r="G250" s="98" t="s">
        <v>263</v>
      </c>
      <c r="H250" s="92">
        <f>H251+H253</f>
        <v>215.7</v>
      </c>
      <c r="I250" s="92">
        <f>I251+I253</f>
        <v>215.7</v>
      </c>
      <c r="J250" s="93">
        <f t="shared" si="82"/>
        <v>100</v>
      </c>
    </row>
    <row r="251" spans="1:10" ht="52.8" x14ac:dyDescent="0.25">
      <c r="A251" s="1"/>
      <c r="B251" s="25"/>
      <c r="C251" s="16" t="s">
        <v>94</v>
      </c>
      <c r="D251" s="16" t="s">
        <v>87</v>
      </c>
      <c r="E251" s="79">
        <v>520123262</v>
      </c>
      <c r="F251" s="16"/>
      <c r="G251" s="97" t="s">
        <v>293</v>
      </c>
      <c r="H251" s="41">
        <f>H252</f>
        <v>15.7</v>
      </c>
      <c r="I251" s="41">
        <f>I252</f>
        <v>15.7</v>
      </c>
      <c r="J251" s="93">
        <f t="shared" si="82"/>
        <v>100</v>
      </c>
    </row>
    <row r="252" spans="1:10" ht="39.6" x14ac:dyDescent="0.25">
      <c r="A252" s="1"/>
      <c r="B252" s="25"/>
      <c r="C252" s="16" t="s">
        <v>94</v>
      </c>
      <c r="D252" s="16" t="s">
        <v>87</v>
      </c>
      <c r="E252" s="79">
        <v>520123262</v>
      </c>
      <c r="F252" s="82" t="s">
        <v>205</v>
      </c>
      <c r="G252" s="97" t="s">
        <v>206</v>
      </c>
      <c r="H252" s="41">
        <f>20-4.3</f>
        <v>15.7</v>
      </c>
      <c r="I252" s="41">
        <v>15.7</v>
      </c>
      <c r="J252" s="93">
        <f t="shared" si="82"/>
        <v>100</v>
      </c>
    </row>
    <row r="253" spans="1:10" ht="26.4" x14ac:dyDescent="0.25">
      <c r="A253" s="1"/>
      <c r="B253" s="25"/>
      <c r="C253" s="16" t="s">
        <v>94</v>
      </c>
      <c r="D253" s="16" t="s">
        <v>87</v>
      </c>
      <c r="E253" s="134" t="s">
        <v>475</v>
      </c>
      <c r="F253" s="82"/>
      <c r="G253" s="97" t="s">
        <v>476</v>
      </c>
      <c r="H253" s="41">
        <f>H254</f>
        <v>200</v>
      </c>
      <c r="I253" s="41">
        <f t="shared" ref="I253" si="86">I254</f>
        <v>200</v>
      </c>
      <c r="J253" s="93">
        <f t="shared" si="82"/>
        <v>100</v>
      </c>
    </row>
    <row r="254" spans="1:10" ht="39.6" x14ac:dyDescent="0.25">
      <c r="A254" s="1"/>
      <c r="B254" s="25"/>
      <c r="C254" s="16" t="s">
        <v>94</v>
      </c>
      <c r="D254" s="16" t="s">
        <v>87</v>
      </c>
      <c r="E254" s="134" t="s">
        <v>475</v>
      </c>
      <c r="F254" s="82" t="s">
        <v>205</v>
      </c>
      <c r="G254" s="97" t="s">
        <v>206</v>
      </c>
      <c r="H254" s="41">
        <v>200</v>
      </c>
      <c r="I254" s="41">
        <v>200</v>
      </c>
      <c r="J254" s="93">
        <f t="shared" si="82"/>
        <v>100</v>
      </c>
    </row>
    <row r="255" spans="1:10" ht="26.4" x14ac:dyDescent="0.25">
      <c r="A255" s="1"/>
      <c r="B255" s="25"/>
      <c r="C255" s="16" t="s">
        <v>94</v>
      </c>
      <c r="D255" s="16" t="s">
        <v>87</v>
      </c>
      <c r="E255" s="21" t="s">
        <v>264</v>
      </c>
      <c r="F255" s="82"/>
      <c r="G255" s="98" t="s">
        <v>477</v>
      </c>
      <c r="H255" s="41">
        <f>H256</f>
        <v>3333.8999999999996</v>
      </c>
      <c r="I255" s="41">
        <f>I256</f>
        <v>3333.8999999999996</v>
      </c>
      <c r="J255" s="93">
        <f t="shared" si="82"/>
        <v>100</v>
      </c>
    </row>
    <row r="256" spans="1:10" ht="52.8" x14ac:dyDescent="0.25">
      <c r="A256" s="1"/>
      <c r="B256" s="25"/>
      <c r="C256" s="16" t="s">
        <v>94</v>
      </c>
      <c r="D256" s="16" t="s">
        <v>87</v>
      </c>
      <c r="E256" s="79">
        <v>520223264</v>
      </c>
      <c r="F256" s="82"/>
      <c r="G256" s="97" t="s">
        <v>478</v>
      </c>
      <c r="H256" s="41">
        <f>SUM(H257:H258)</f>
        <v>3333.8999999999996</v>
      </c>
      <c r="I256" s="41">
        <f t="shared" ref="I256" si="87">I257+I258</f>
        <v>3333.8999999999996</v>
      </c>
      <c r="J256" s="93">
        <f t="shared" si="82"/>
        <v>100</v>
      </c>
    </row>
    <row r="257" spans="1:10" x14ac:dyDescent="0.25">
      <c r="A257" s="1"/>
      <c r="B257" s="25"/>
      <c r="C257" s="16" t="s">
        <v>94</v>
      </c>
      <c r="D257" s="16" t="s">
        <v>87</v>
      </c>
      <c r="E257" s="79">
        <v>520223264</v>
      </c>
      <c r="F257" s="82" t="s">
        <v>652</v>
      </c>
      <c r="G257" s="97" t="s">
        <v>653</v>
      </c>
      <c r="H257" s="41">
        <f>67.5+9.8+0.1+23.3</f>
        <v>100.69999999999999</v>
      </c>
      <c r="I257" s="41">
        <v>100.7</v>
      </c>
      <c r="J257" s="93">
        <f t="shared" si="82"/>
        <v>100</v>
      </c>
    </row>
    <row r="258" spans="1:10" ht="26.4" x14ac:dyDescent="0.25">
      <c r="A258" s="1"/>
      <c r="B258" s="25"/>
      <c r="C258" s="16" t="s">
        <v>94</v>
      </c>
      <c r="D258" s="16" t="s">
        <v>87</v>
      </c>
      <c r="E258" s="79">
        <v>520223264</v>
      </c>
      <c r="F258" s="82" t="s">
        <v>129</v>
      </c>
      <c r="G258" s="97" t="s">
        <v>130</v>
      </c>
      <c r="H258" s="41">
        <f>1648+325.2+337+946.3-23.3</f>
        <v>3233.2</v>
      </c>
      <c r="I258" s="41">
        <v>3233.2</v>
      </c>
      <c r="J258" s="93">
        <f t="shared" si="82"/>
        <v>100</v>
      </c>
    </row>
    <row r="259" spans="1:10" ht="66" x14ac:dyDescent="0.25">
      <c r="A259" s="1"/>
      <c r="B259" s="25"/>
      <c r="C259" s="16" t="s">
        <v>94</v>
      </c>
      <c r="D259" s="16" t="s">
        <v>87</v>
      </c>
      <c r="E259" s="52" t="s">
        <v>147</v>
      </c>
      <c r="F259" s="16"/>
      <c r="G259" s="48" t="s">
        <v>144</v>
      </c>
      <c r="H259" s="92">
        <f>H260+H263</f>
        <v>3534.3</v>
      </c>
      <c r="I259" s="92">
        <f>I260+I263</f>
        <v>3247.2</v>
      </c>
      <c r="J259" s="58">
        <f t="shared" si="82"/>
        <v>91.9</v>
      </c>
    </row>
    <row r="260" spans="1:10" ht="79.2" x14ac:dyDescent="0.25">
      <c r="A260" s="1"/>
      <c r="B260" s="25"/>
      <c r="C260" s="16" t="s">
        <v>94</v>
      </c>
      <c r="D260" s="16" t="s">
        <v>87</v>
      </c>
      <c r="E260" s="21" t="s">
        <v>267</v>
      </c>
      <c r="F260" s="82"/>
      <c r="G260" s="98" t="s">
        <v>305</v>
      </c>
      <c r="H260" s="39">
        <f t="shared" ref="H260:I261" si="88">H261</f>
        <v>1612.2000000000003</v>
      </c>
      <c r="I260" s="39">
        <f t="shared" si="88"/>
        <v>1325.1</v>
      </c>
      <c r="J260" s="93">
        <f t="shared" si="82"/>
        <v>82.2</v>
      </c>
    </row>
    <row r="261" spans="1:10" ht="68.25" customHeight="1" x14ac:dyDescent="0.25">
      <c r="A261" s="1"/>
      <c r="B261" s="25"/>
      <c r="C261" s="82" t="s">
        <v>94</v>
      </c>
      <c r="D261" s="82" t="s">
        <v>87</v>
      </c>
      <c r="E261" s="79">
        <v>530123271</v>
      </c>
      <c r="F261" s="16"/>
      <c r="G261" s="97" t="s">
        <v>148</v>
      </c>
      <c r="H261" s="41">
        <f t="shared" si="88"/>
        <v>1612.2000000000003</v>
      </c>
      <c r="I261" s="41">
        <f t="shared" si="88"/>
        <v>1325.1</v>
      </c>
      <c r="J261" s="93">
        <f t="shared" si="82"/>
        <v>82.2</v>
      </c>
    </row>
    <row r="262" spans="1:10" ht="39.6" x14ac:dyDescent="0.25">
      <c r="A262" s="1"/>
      <c r="B262" s="25"/>
      <c r="C262" s="16" t="s">
        <v>94</v>
      </c>
      <c r="D262" s="16" t="s">
        <v>87</v>
      </c>
      <c r="E262" s="79">
        <v>530123271</v>
      </c>
      <c r="F262" s="82" t="s">
        <v>205</v>
      </c>
      <c r="G262" s="97" t="s">
        <v>206</v>
      </c>
      <c r="H262" s="1">
        <f>1461.4-6.8+123.2+22.9+11.5</f>
        <v>1612.2000000000003</v>
      </c>
      <c r="I262" s="39">
        <v>1325.1</v>
      </c>
      <c r="J262" s="93">
        <f t="shared" si="82"/>
        <v>82.2</v>
      </c>
    </row>
    <row r="263" spans="1:10" ht="52.8" x14ac:dyDescent="0.25">
      <c r="A263" s="1"/>
      <c r="B263" s="25"/>
      <c r="C263" s="16" t="s">
        <v>94</v>
      </c>
      <c r="D263" s="16" t="s">
        <v>87</v>
      </c>
      <c r="E263" s="21" t="s">
        <v>268</v>
      </c>
      <c r="F263" s="16"/>
      <c r="G263" s="98" t="s">
        <v>479</v>
      </c>
      <c r="H263" s="41">
        <f t="shared" ref="H263:I264" si="89">H264</f>
        <v>1922.1</v>
      </c>
      <c r="I263" s="41">
        <f t="shared" si="89"/>
        <v>1922.1</v>
      </c>
      <c r="J263" s="93">
        <f t="shared" si="82"/>
        <v>100</v>
      </c>
    </row>
    <row r="264" spans="1:10" ht="52.8" x14ac:dyDescent="0.25">
      <c r="A264" s="1"/>
      <c r="B264" s="25"/>
      <c r="C264" s="16" t="s">
        <v>94</v>
      </c>
      <c r="D264" s="16" t="s">
        <v>87</v>
      </c>
      <c r="E264" s="79">
        <v>530223272</v>
      </c>
      <c r="F264" s="16"/>
      <c r="G264" s="97" t="s">
        <v>480</v>
      </c>
      <c r="H264" s="41">
        <f t="shared" si="89"/>
        <v>1922.1</v>
      </c>
      <c r="I264" s="41">
        <f t="shared" si="89"/>
        <v>1922.1</v>
      </c>
      <c r="J264" s="93">
        <f t="shared" si="82"/>
        <v>100</v>
      </c>
    </row>
    <row r="265" spans="1:10" ht="39.6" x14ac:dyDescent="0.25">
      <c r="A265" s="1"/>
      <c r="B265" s="25"/>
      <c r="C265" s="16" t="s">
        <v>94</v>
      </c>
      <c r="D265" s="16" t="s">
        <v>87</v>
      </c>
      <c r="E265" s="79">
        <v>530223272</v>
      </c>
      <c r="F265" s="82" t="s">
        <v>205</v>
      </c>
      <c r="G265" s="97" t="s">
        <v>206</v>
      </c>
      <c r="H265" s="41">
        <v>1922.1</v>
      </c>
      <c r="I265" s="41">
        <v>1922.1</v>
      </c>
      <c r="J265" s="93">
        <f t="shared" si="82"/>
        <v>100</v>
      </c>
    </row>
    <row r="266" spans="1:10" ht="14.4" x14ac:dyDescent="0.3">
      <c r="A266" s="1"/>
      <c r="B266" s="25"/>
      <c r="C266" s="30" t="s">
        <v>94</v>
      </c>
      <c r="D266" s="30" t="s">
        <v>88</v>
      </c>
      <c r="E266" s="30"/>
      <c r="F266" s="30"/>
      <c r="G266" s="27" t="s">
        <v>42</v>
      </c>
      <c r="H266" s="40">
        <f>H267+H282+H305</f>
        <v>28510</v>
      </c>
      <c r="I266" s="212">
        <f>I267+I282</f>
        <v>28436.9</v>
      </c>
      <c r="J266" s="42">
        <f t="shared" si="82"/>
        <v>99.7</v>
      </c>
    </row>
    <row r="267" spans="1:10" ht="92.4" x14ac:dyDescent="0.25">
      <c r="A267" s="1"/>
      <c r="B267" s="25"/>
      <c r="C267" s="5" t="s">
        <v>94</v>
      </c>
      <c r="D267" s="5" t="s">
        <v>88</v>
      </c>
      <c r="E267" s="76">
        <v>400000000</v>
      </c>
      <c r="F267" s="16"/>
      <c r="G267" s="139" t="s">
        <v>563</v>
      </c>
      <c r="H267" s="95">
        <f t="shared" ref="H267:I268" si="90">H268</f>
        <v>15674.5</v>
      </c>
      <c r="I267" s="95">
        <f t="shared" si="90"/>
        <v>15654.1</v>
      </c>
      <c r="J267" s="62">
        <f t="shared" si="82"/>
        <v>99.9</v>
      </c>
    </row>
    <row r="268" spans="1:10" ht="79.5" customHeight="1" x14ac:dyDescent="0.25">
      <c r="A268" s="1"/>
      <c r="B268" s="25"/>
      <c r="C268" s="16" t="s">
        <v>94</v>
      </c>
      <c r="D268" s="16" t="s">
        <v>88</v>
      </c>
      <c r="E268" s="75">
        <v>430000000</v>
      </c>
      <c r="F268" s="16"/>
      <c r="G268" s="46" t="s">
        <v>659</v>
      </c>
      <c r="H268" s="92">
        <f>H269</f>
        <v>15674.5</v>
      </c>
      <c r="I268" s="92">
        <f t="shared" si="90"/>
        <v>15654.1</v>
      </c>
      <c r="J268" s="58">
        <f t="shared" si="82"/>
        <v>99.9</v>
      </c>
    </row>
    <row r="269" spans="1:10" ht="39.6" x14ac:dyDescent="0.25">
      <c r="A269" s="1"/>
      <c r="B269" s="25"/>
      <c r="C269" s="16" t="s">
        <v>94</v>
      </c>
      <c r="D269" s="16" t="s">
        <v>88</v>
      </c>
      <c r="E269" s="74">
        <v>430200000</v>
      </c>
      <c r="F269" s="16"/>
      <c r="G269" s="96" t="s">
        <v>287</v>
      </c>
      <c r="H269" s="41">
        <f>H270+H272+H274+H276+H278+H280</f>
        <v>15674.5</v>
      </c>
      <c r="I269" s="41">
        <f t="shared" ref="I269" si="91">I270+I272+I274+I276+I278+I280</f>
        <v>15654.1</v>
      </c>
      <c r="J269" s="93">
        <f t="shared" si="82"/>
        <v>99.9</v>
      </c>
    </row>
    <row r="270" spans="1:10" ht="107.25" customHeight="1" x14ac:dyDescent="0.25">
      <c r="A270" s="1"/>
      <c r="B270" s="25"/>
      <c r="C270" s="16" t="s">
        <v>94</v>
      </c>
      <c r="D270" s="16" t="s">
        <v>88</v>
      </c>
      <c r="E270" s="74">
        <v>430227340</v>
      </c>
      <c r="F270" s="16"/>
      <c r="G270" s="97" t="s">
        <v>595</v>
      </c>
      <c r="H270" s="39">
        <f>H271</f>
        <v>1540.3</v>
      </c>
      <c r="I270" s="39">
        <f t="shared" ref="I270" si="92">I271</f>
        <v>1540.3</v>
      </c>
      <c r="J270" s="93">
        <f t="shared" si="82"/>
        <v>100</v>
      </c>
    </row>
    <row r="271" spans="1:10" ht="66" x14ac:dyDescent="0.25">
      <c r="A271" s="1"/>
      <c r="B271" s="25"/>
      <c r="C271" s="16" t="s">
        <v>94</v>
      </c>
      <c r="D271" s="16" t="s">
        <v>88</v>
      </c>
      <c r="E271" s="74">
        <v>430227340</v>
      </c>
      <c r="F271" s="16" t="s">
        <v>12</v>
      </c>
      <c r="G271" s="97" t="s">
        <v>315</v>
      </c>
      <c r="H271" s="39">
        <f>1720-80-99.7</f>
        <v>1540.3</v>
      </c>
      <c r="I271" s="39">
        <v>1540.3</v>
      </c>
      <c r="J271" s="93">
        <f t="shared" si="82"/>
        <v>100</v>
      </c>
    </row>
    <row r="272" spans="1:10" ht="116.25" customHeight="1" x14ac:dyDescent="0.25">
      <c r="A272" s="1"/>
      <c r="B272" s="25"/>
      <c r="C272" s="16" t="s">
        <v>94</v>
      </c>
      <c r="D272" s="16" t="s">
        <v>88</v>
      </c>
      <c r="E272" s="74">
        <v>430227350</v>
      </c>
      <c r="F272" s="16"/>
      <c r="G272" s="97" t="s">
        <v>582</v>
      </c>
      <c r="H272" s="39">
        <f>H273</f>
        <v>22.9</v>
      </c>
      <c r="I272" s="39">
        <f t="shared" ref="I272" si="93">I273</f>
        <v>21</v>
      </c>
      <c r="J272" s="93">
        <f t="shared" si="82"/>
        <v>91.7</v>
      </c>
    </row>
    <row r="273" spans="1:10" ht="66" x14ac:dyDescent="0.25">
      <c r="A273" s="1"/>
      <c r="B273" s="25"/>
      <c r="C273" s="16" t="s">
        <v>94</v>
      </c>
      <c r="D273" s="16" t="s">
        <v>88</v>
      </c>
      <c r="E273" s="74">
        <v>430227350</v>
      </c>
      <c r="F273" s="16" t="s">
        <v>12</v>
      </c>
      <c r="G273" s="97" t="s">
        <v>315</v>
      </c>
      <c r="H273" s="39">
        <f>21.7+1.2</f>
        <v>22.9</v>
      </c>
      <c r="I273" s="39">
        <v>21</v>
      </c>
      <c r="J273" s="93">
        <f t="shared" si="82"/>
        <v>91.7</v>
      </c>
    </row>
    <row r="274" spans="1:10" ht="132" x14ac:dyDescent="0.25">
      <c r="A274" s="1"/>
      <c r="B274" s="25"/>
      <c r="C274" s="16" t="s">
        <v>94</v>
      </c>
      <c r="D274" s="16" t="s">
        <v>88</v>
      </c>
      <c r="E274" s="74">
        <v>430227360</v>
      </c>
      <c r="F274" s="16"/>
      <c r="G274" s="97" t="s">
        <v>583</v>
      </c>
      <c r="H274" s="39">
        <f>H275</f>
        <v>5953.4000000000005</v>
      </c>
      <c r="I274" s="39">
        <f>I275</f>
        <v>5934.9</v>
      </c>
      <c r="J274" s="93">
        <f t="shared" si="82"/>
        <v>99.7</v>
      </c>
    </row>
    <row r="275" spans="1:10" ht="66" x14ac:dyDescent="0.25">
      <c r="A275" s="1"/>
      <c r="B275" s="25"/>
      <c r="C275" s="16" t="s">
        <v>94</v>
      </c>
      <c r="D275" s="16" t="s">
        <v>88</v>
      </c>
      <c r="E275" s="74">
        <v>430227360</v>
      </c>
      <c r="F275" s="16" t="s">
        <v>12</v>
      </c>
      <c r="G275" s="97" t="s">
        <v>315</v>
      </c>
      <c r="H275" s="39">
        <f>5227.7+586.1+300-160.4</f>
        <v>5953.4000000000005</v>
      </c>
      <c r="I275" s="39">
        <v>5934.9</v>
      </c>
      <c r="J275" s="93">
        <f t="shared" si="82"/>
        <v>99.7</v>
      </c>
    </row>
    <row r="276" spans="1:10" ht="171" customHeight="1" x14ac:dyDescent="0.25">
      <c r="A276" s="1"/>
      <c r="B276" s="25"/>
      <c r="C276" s="16" t="s">
        <v>94</v>
      </c>
      <c r="D276" s="16" t="s">
        <v>88</v>
      </c>
      <c r="E276" s="74">
        <v>430227370</v>
      </c>
      <c r="F276" s="16"/>
      <c r="G276" s="97" t="s">
        <v>596</v>
      </c>
      <c r="H276" s="39">
        <f>H277</f>
        <v>642.09999999999991</v>
      </c>
      <c r="I276" s="39">
        <f t="shared" ref="I276" si="94">I277</f>
        <v>642.1</v>
      </c>
      <c r="J276" s="93">
        <f t="shared" si="82"/>
        <v>100</v>
      </c>
    </row>
    <row r="277" spans="1:10" ht="66" x14ac:dyDescent="0.25">
      <c r="A277" s="1"/>
      <c r="B277" s="25"/>
      <c r="C277" s="16" t="s">
        <v>94</v>
      </c>
      <c r="D277" s="16" t="s">
        <v>88</v>
      </c>
      <c r="E277" s="74">
        <v>430227370</v>
      </c>
      <c r="F277" s="16" t="s">
        <v>12</v>
      </c>
      <c r="G277" s="97" t="s">
        <v>315</v>
      </c>
      <c r="H277" s="39">
        <f>1606.6-900-64.5</f>
        <v>642.09999999999991</v>
      </c>
      <c r="I277" s="39">
        <v>642.1</v>
      </c>
      <c r="J277" s="93">
        <f t="shared" si="82"/>
        <v>100</v>
      </c>
    </row>
    <row r="278" spans="1:10" ht="112.5" customHeight="1" x14ac:dyDescent="0.25">
      <c r="A278" s="1"/>
      <c r="B278" s="25"/>
      <c r="C278" s="16" t="s">
        <v>94</v>
      </c>
      <c r="D278" s="16" t="s">
        <v>88</v>
      </c>
      <c r="E278" s="74">
        <v>430227390</v>
      </c>
      <c r="F278" s="16"/>
      <c r="G278" s="97" t="s">
        <v>656</v>
      </c>
      <c r="H278" s="39">
        <f>H279</f>
        <v>3115.8</v>
      </c>
      <c r="I278" s="39">
        <f t="shared" ref="I278" si="95">I279</f>
        <v>3115.8</v>
      </c>
      <c r="J278" s="93">
        <f t="shared" si="82"/>
        <v>100</v>
      </c>
    </row>
    <row r="279" spans="1:10" ht="66" x14ac:dyDescent="0.25">
      <c r="A279" s="1"/>
      <c r="B279" s="25"/>
      <c r="C279" s="16" t="s">
        <v>94</v>
      </c>
      <c r="D279" s="16" t="s">
        <v>88</v>
      </c>
      <c r="E279" s="74">
        <v>430227390</v>
      </c>
      <c r="F279" s="16" t="s">
        <v>12</v>
      </c>
      <c r="G279" s="97" t="s">
        <v>315</v>
      </c>
      <c r="H279" s="39">
        <v>3115.8</v>
      </c>
      <c r="I279" s="39">
        <v>3115.8</v>
      </c>
      <c r="J279" s="93">
        <f t="shared" si="82"/>
        <v>100</v>
      </c>
    </row>
    <row r="280" spans="1:10" ht="132" x14ac:dyDescent="0.25">
      <c r="A280" s="1"/>
      <c r="B280" s="25"/>
      <c r="C280" s="16" t="s">
        <v>94</v>
      </c>
      <c r="D280" s="16" t="s">
        <v>88</v>
      </c>
      <c r="E280" s="74">
        <v>430227400</v>
      </c>
      <c r="F280" s="16"/>
      <c r="G280" s="97" t="s">
        <v>691</v>
      </c>
      <c r="H280" s="39">
        <f>H281</f>
        <v>4400</v>
      </c>
      <c r="I280" s="39">
        <f t="shared" ref="I280" si="96">I281</f>
        <v>4400</v>
      </c>
      <c r="J280" s="93">
        <f t="shared" si="82"/>
        <v>100</v>
      </c>
    </row>
    <row r="281" spans="1:10" ht="66" x14ac:dyDescent="0.25">
      <c r="A281" s="1"/>
      <c r="B281" s="25"/>
      <c r="C281" s="16" t="s">
        <v>94</v>
      </c>
      <c r="D281" s="16" t="s">
        <v>88</v>
      </c>
      <c r="E281" s="74">
        <v>430227400</v>
      </c>
      <c r="F281" s="16" t="s">
        <v>12</v>
      </c>
      <c r="G281" s="97" t="s">
        <v>315</v>
      </c>
      <c r="H281" s="39">
        <v>4400</v>
      </c>
      <c r="I281" s="39">
        <v>4400</v>
      </c>
      <c r="J281" s="93">
        <f t="shared" si="82"/>
        <v>100</v>
      </c>
    </row>
    <row r="282" spans="1:10" ht="105.6" x14ac:dyDescent="0.25">
      <c r="A282" s="1"/>
      <c r="B282" s="25"/>
      <c r="C282" s="5" t="s">
        <v>94</v>
      </c>
      <c r="D282" s="5" t="s">
        <v>88</v>
      </c>
      <c r="E282" s="81" t="s">
        <v>33</v>
      </c>
      <c r="F282" s="16"/>
      <c r="G282" s="53" t="s">
        <v>565</v>
      </c>
      <c r="H282" s="95">
        <f>H283+H290+H296</f>
        <v>12785.5</v>
      </c>
      <c r="I282" s="95">
        <f>I283+I290+I296</f>
        <v>12782.800000000001</v>
      </c>
      <c r="J282" s="62">
        <f t="shared" si="82"/>
        <v>100</v>
      </c>
    </row>
    <row r="283" spans="1:10" ht="39.6" x14ac:dyDescent="0.25">
      <c r="A283" s="1"/>
      <c r="B283" s="25"/>
      <c r="C283" s="16" t="s">
        <v>94</v>
      </c>
      <c r="D283" s="16" t="s">
        <v>88</v>
      </c>
      <c r="E283" s="52" t="s">
        <v>34</v>
      </c>
      <c r="F283" s="16"/>
      <c r="G283" s="48" t="s">
        <v>538</v>
      </c>
      <c r="H283" s="92">
        <f>H284+H287</f>
        <v>499.7</v>
      </c>
      <c r="I283" s="92">
        <f t="shared" ref="I283:J283" si="97">I284+I287</f>
        <v>499.7</v>
      </c>
      <c r="J283" s="92">
        <f t="shared" si="97"/>
        <v>200</v>
      </c>
    </row>
    <row r="284" spans="1:10" ht="39.6" x14ac:dyDescent="0.25">
      <c r="A284" s="1"/>
      <c r="B284" s="25"/>
      <c r="C284" s="16" t="s">
        <v>94</v>
      </c>
      <c r="D284" s="16" t="s">
        <v>88</v>
      </c>
      <c r="E284" s="21" t="s">
        <v>229</v>
      </c>
      <c r="F284" s="16"/>
      <c r="G284" s="98" t="s">
        <v>228</v>
      </c>
      <c r="H284" s="92">
        <f t="shared" ref="H284:I285" si="98">H285</f>
        <v>485.7</v>
      </c>
      <c r="I284" s="92">
        <f t="shared" si="98"/>
        <v>485.7</v>
      </c>
      <c r="J284" s="93">
        <f t="shared" si="82"/>
        <v>100</v>
      </c>
    </row>
    <row r="285" spans="1:10" ht="26.4" x14ac:dyDescent="0.3">
      <c r="A285" s="1"/>
      <c r="B285" s="25"/>
      <c r="C285" s="16" t="s">
        <v>94</v>
      </c>
      <c r="D285" s="16" t="s">
        <v>88</v>
      </c>
      <c r="E285" s="21" t="s">
        <v>484</v>
      </c>
      <c r="F285" s="3"/>
      <c r="G285" s="97" t="s">
        <v>183</v>
      </c>
      <c r="H285" s="41">
        <f t="shared" si="98"/>
        <v>485.7</v>
      </c>
      <c r="I285" s="41">
        <f t="shared" si="98"/>
        <v>485.7</v>
      </c>
      <c r="J285" s="93">
        <f t="shared" si="82"/>
        <v>100</v>
      </c>
    </row>
    <row r="286" spans="1:10" ht="39.6" x14ac:dyDescent="0.25">
      <c r="A286" s="1"/>
      <c r="B286" s="25"/>
      <c r="C286" s="16" t="s">
        <v>94</v>
      </c>
      <c r="D286" s="16" t="s">
        <v>88</v>
      </c>
      <c r="E286" s="21" t="s">
        <v>484</v>
      </c>
      <c r="F286" s="82" t="s">
        <v>205</v>
      </c>
      <c r="G286" s="97" t="s">
        <v>206</v>
      </c>
      <c r="H286" s="41">
        <v>485.7</v>
      </c>
      <c r="I286" s="39">
        <v>485.7</v>
      </c>
      <c r="J286" s="93">
        <f t="shared" si="82"/>
        <v>100</v>
      </c>
    </row>
    <row r="287" spans="1:10" ht="39.6" x14ac:dyDescent="0.25">
      <c r="A287" s="1"/>
      <c r="B287" s="25"/>
      <c r="C287" s="16" t="s">
        <v>94</v>
      </c>
      <c r="D287" s="16" t="s">
        <v>88</v>
      </c>
      <c r="E287" s="21" t="s">
        <v>486</v>
      </c>
      <c r="F287" s="82"/>
      <c r="G287" s="98" t="s">
        <v>331</v>
      </c>
      <c r="H287" s="41">
        <f t="shared" ref="H287:J287" si="99">H288</f>
        <v>14</v>
      </c>
      <c r="I287" s="41">
        <f t="shared" si="99"/>
        <v>14</v>
      </c>
      <c r="J287" s="41">
        <f t="shared" si="99"/>
        <v>100</v>
      </c>
    </row>
    <row r="288" spans="1:10" ht="26.4" x14ac:dyDescent="0.25">
      <c r="A288" s="1"/>
      <c r="B288" s="25"/>
      <c r="C288" s="16" t="s">
        <v>94</v>
      </c>
      <c r="D288" s="16" t="s">
        <v>88</v>
      </c>
      <c r="E288" s="21" t="s">
        <v>485</v>
      </c>
      <c r="F288" s="16"/>
      <c r="G288" s="97" t="s">
        <v>330</v>
      </c>
      <c r="H288" s="41">
        <f t="shared" ref="H288:I288" si="100">H289</f>
        <v>14</v>
      </c>
      <c r="I288" s="41">
        <f t="shared" si="100"/>
        <v>14</v>
      </c>
      <c r="J288" s="93">
        <f t="shared" si="82"/>
        <v>100</v>
      </c>
    </row>
    <row r="289" spans="1:10" ht="39.6" x14ac:dyDescent="0.25">
      <c r="A289" s="1"/>
      <c r="B289" s="25"/>
      <c r="C289" s="16" t="s">
        <v>94</v>
      </c>
      <c r="D289" s="16" t="s">
        <v>88</v>
      </c>
      <c r="E289" s="21" t="s">
        <v>485</v>
      </c>
      <c r="F289" s="82" t="s">
        <v>205</v>
      </c>
      <c r="G289" s="97" t="s">
        <v>206</v>
      </c>
      <c r="H289" s="41">
        <f>8.3+1.7+4</f>
        <v>14</v>
      </c>
      <c r="I289" s="41">
        <v>14</v>
      </c>
      <c r="J289" s="93">
        <f t="shared" si="82"/>
        <v>100</v>
      </c>
    </row>
    <row r="290" spans="1:10" ht="26.4" x14ac:dyDescent="0.25">
      <c r="A290" s="1"/>
      <c r="B290" s="25"/>
      <c r="C290" s="47" t="s">
        <v>94</v>
      </c>
      <c r="D290" s="47" t="s">
        <v>88</v>
      </c>
      <c r="E290" s="52" t="s">
        <v>364</v>
      </c>
      <c r="F290" s="16"/>
      <c r="G290" s="46" t="s">
        <v>339</v>
      </c>
      <c r="H290" s="92">
        <f>H291</f>
        <v>1026.8999999999996</v>
      </c>
      <c r="I290" s="92">
        <f>I291</f>
        <v>1026.9000000000001</v>
      </c>
      <c r="J290" s="92">
        <f>J291</f>
        <v>100</v>
      </c>
    </row>
    <row r="291" spans="1:10" ht="39.6" x14ac:dyDescent="0.25">
      <c r="A291" s="1"/>
      <c r="B291" s="25"/>
      <c r="C291" s="16" t="s">
        <v>94</v>
      </c>
      <c r="D291" s="16" t="s">
        <v>88</v>
      </c>
      <c r="E291" s="21" t="s">
        <v>487</v>
      </c>
      <c r="F291" s="16"/>
      <c r="G291" s="98" t="s">
        <v>296</v>
      </c>
      <c r="H291" s="39">
        <f>H292+H294</f>
        <v>1026.8999999999996</v>
      </c>
      <c r="I291" s="39">
        <f t="shared" ref="I291" si="101">I292+I294</f>
        <v>1026.9000000000001</v>
      </c>
      <c r="J291" s="93">
        <f t="shared" si="82"/>
        <v>100</v>
      </c>
    </row>
    <row r="292" spans="1:10" ht="39.6" x14ac:dyDescent="0.25">
      <c r="A292" s="1"/>
      <c r="B292" s="25"/>
      <c r="C292" s="16" t="s">
        <v>94</v>
      </c>
      <c r="D292" s="16" t="s">
        <v>88</v>
      </c>
      <c r="E292" s="21" t="s">
        <v>488</v>
      </c>
      <c r="F292" s="16"/>
      <c r="G292" s="96" t="s">
        <v>184</v>
      </c>
      <c r="H292" s="41">
        <f>H293</f>
        <v>178</v>
      </c>
      <c r="I292" s="41">
        <f>I293</f>
        <v>178</v>
      </c>
      <c r="J292" s="93">
        <f t="shared" si="82"/>
        <v>100</v>
      </c>
    </row>
    <row r="293" spans="1:10" ht="39.6" x14ac:dyDescent="0.25">
      <c r="A293" s="1"/>
      <c r="B293" s="25"/>
      <c r="C293" s="16" t="s">
        <v>94</v>
      </c>
      <c r="D293" s="16" t="s">
        <v>88</v>
      </c>
      <c r="E293" s="21" t="s">
        <v>488</v>
      </c>
      <c r="F293" s="82" t="s">
        <v>205</v>
      </c>
      <c r="G293" s="97" t="s">
        <v>206</v>
      </c>
      <c r="H293" s="41">
        <f>200-20.3-1.7</f>
        <v>178</v>
      </c>
      <c r="I293" s="41">
        <v>178</v>
      </c>
      <c r="J293" s="93">
        <f t="shared" si="82"/>
        <v>100</v>
      </c>
    </row>
    <row r="294" spans="1:10" ht="26.4" x14ac:dyDescent="0.25">
      <c r="A294" s="1"/>
      <c r="B294" s="25"/>
      <c r="C294" s="16" t="s">
        <v>94</v>
      </c>
      <c r="D294" s="16" t="s">
        <v>88</v>
      </c>
      <c r="E294" s="21" t="s">
        <v>490</v>
      </c>
      <c r="F294" s="82"/>
      <c r="G294" s="97" t="s">
        <v>489</v>
      </c>
      <c r="H294" s="41">
        <f>H295</f>
        <v>848.89999999999964</v>
      </c>
      <c r="I294" s="41">
        <f t="shared" ref="I294" si="102">I295</f>
        <v>848.9</v>
      </c>
      <c r="J294" s="93">
        <f t="shared" si="82"/>
        <v>100</v>
      </c>
    </row>
    <row r="295" spans="1:10" ht="39.6" x14ac:dyDescent="0.25">
      <c r="A295" s="1"/>
      <c r="B295" s="25"/>
      <c r="C295" s="16" t="s">
        <v>94</v>
      </c>
      <c r="D295" s="16" t="s">
        <v>88</v>
      </c>
      <c r="E295" s="21" t="s">
        <v>490</v>
      </c>
      <c r="F295" s="82" t="s">
        <v>205</v>
      </c>
      <c r="G295" s="97" t="s">
        <v>206</v>
      </c>
      <c r="H295" s="41">
        <f>500+146.9+280-78+5000-5000</f>
        <v>848.89999999999964</v>
      </c>
      <c r="I295" s="41">
        <v>848.9</v>
      </c>
      <c r="J295" s="93">
        <f t="shared" si="82"/>
        <v>100</v>
      </c>
    </row>
    <row r="296" spans="1:10" ht="39.6" x14ac:dyDescent="0.25">
      <c r="A296" s="1"/>
      <c r="B296" s="25"/>
      <c r="C296" s="16" t="s">
        <v>94</v>
      </c>
      <c r="D296" s="16" t="s">
        <v>88</v>
      </c>
      <c r="E296" s="52" t="s">
        <v>35</v>
      </c>
      <c r="F296" s="16"/>
      <c r="G296" s="46" t="s">
        <v>491</v>
      </c>
      <c r="H296" s="41">
        <f>H297+H302</f>
        <v>11258.9</v>
      </c>
      <c r="I296" s="41">
        <f t="shared" ref="I296" si="103">I297+I302</f>
        <v>11256.2</v>
      </c>
      <c r="J296" s="92">
        <f>J297</f>
        <v>100</v>
      </c>
    </row>
    <row r="297" spans="1:10" ht="52.8" x14ac:dyDescent="0.25">
      <c r="A297" s="1"/>
      <c r="B297" s="25"/>
      <c r="C297" s="16" t="s">
        <v>94</v>
      </c>
      <c r="D297" s="16" t="s">
        <v>88</v>
      </c>
      <c r="E297" s="21" t="s">
        <v>230</v>
      </c>
      <c r="F297" s="16"/>
      <c r="G297" s="98" t="s">
        <v>671</v>
      </c>
      <c r="H297" s="41">
        <f>H298+H300</f>
        <v>9812.9</v>
      </c>
      <c r="I297" s="41">
        <f t="shared" ref="I297" si="104">I298+I300</f>
        <v>9810.2000000000007</v>
      </c>
      <c r="J297" s="93">
        <f t="shared" si="82"/>
        <v>100</v>
      </c>
    </row>
    <row r="298" spans="1:10" ht="39.6" x14ac:dyDescent="0.25">
      <c r="A298" s="1"/>
      <c r="B298" s="25"/>
      <c r="C298" s="16" t="s">
        <v>94</v>
      </c>
      <c r="D298" s="16" t="s">
        <v>88</v>
      </c>
      <c r="E298" s="21" t="s">
        <v>493</v>
      </c>
      <c r="F298" s="16"/>
      <c r="G298" s="98" t="s">
        <v>492</v>
      </c>
      <c r="H298" s="41">
        <f>H299</f>
        <v>9721.9</v>
      </c>
      <c r="I298" s="41">
        <f t="shared" ref="I298" si="105">I299</f>
        <v>9719.2000000000007</v>
      </c>
      <c r="J298" s="93">
        <f t="shared" si="82"/>
        <v>100</v>
      </c>
    </row>
    <row r="299" spans="1:10" ht="39.6" x14ac:dyDescent="0.25">
      <c r="A299" s="1"/>
      <c r="B299" s="25"/>
      <c r="C299" s="16" t="s">
        <v>94</v>
      </c>
      <c r="D299" s="16" t="s">
        <v>88</v>
      </c>
      <c r="E299" s="21" t="s">
        <v>493</v>
      </c>
      <c r="F299" s="82" t="s">
        <v>205</v>
      </c>
      <c r="G299" s="97" t="s">
        <v>206</v>
      </c>
      <c r="H299" s="41">
        <f>1700-700+700+3849.7+87.7+20.3+43.6+3961.7+63.5-4-0.6</f>
        <v>9721.9</v>
      </c>
      <c r="I299" s="41">
        <v>9719.2000000000007</v>
      </c>
      <c r="J299" s="93">
        <f t="shared" si="82"/>
        <v>100</v>
      </c>
    </row>
    <row r="300" spans="1:10" ht="52.8" x14ac:dyDescent="0.25">
      <c r="A300" s="1"/>
      <c r="B300" s="25"/>
      <c r="C300" s="16" t="s">
        <v>94</v>
      </c>
      <c r="D300" s="16" t="s">
        <v>88</v>
      </c>
      <c r="E300" s="21" t="s">
        <v>662</v>
      </c>
      <c r="F300" s="82"/>
      <c r="G300" s="97" t="s">
        <v>661</v>
      </c>
      <c r="H300" s="41">
        <f>H301</f>
        <v>91</v>
      </c>
      <c r="I300" s="41">
        <f t="shared" ref="I300" si="106">I301</f>
        <v>91</v>
      </c>
      <c r="J300" s="93">
        <f t="shared" si="82"/>
        <v>100</v>
      </c>
    </row>
    <row r="301" spans="1:10" ht="39.6" x14ac:dyDescent="0.25">
      <c r="A301" s="1"/>
      <c r="B301" s="25"/>
      <c r="C301" s="16" t="s">
        <v>94</v>
      </c>
      <c r="D301" s="16" t="s">
        <v>88</v>
      </c>
      <c r="E301" s="21" t="s">
        <v>662</v>
      </c>
      <c r="F301" s="82" t="s">
        <v>205</v>
      </c>
      <c r="G301" s="97" t="s">
        <v>206</v>
      </c>
      <c r="H301" s="41">
        <v>91</v>
      </c>
      <c r="I301" s="41">
        <v>91</v>
      </c>
      <c r="J301" s="93">
        <f t="shared" si="82"/>
        <v>100</v>
      </c>
    </row>
    <row r="302" spans="1:10" ht="26.4" x14ac:dyDescent="0.25">
      <c r="A302" s="1"/>
      <c r="B302" s="25"/>
      <c r="C302" s="16" t="s">
        <v>94</v>
      </c>
      <c r="D302" s="16" t="s">
        <v>88</v>
      </c>
      <c r="E302" s="21" t="s">
        <v>363</v>
      </c>
      <c r="F302" s="82"/>
      <c r="G302" s="98" t="s">
        <v>566</v>
      </c>
      <c r="H302" s="41">
        <f>H303</f>
        <v>1446</v>
      </c>
      <c r="I302" s="41">
        <f t="shared" ref="I302:I303" si="107">I303</f>
        <v>1446</v>
      </c>
      <c r="J302" s="93">
        <f t="shared" si="82"/>
        <v>100</v>
      </c>
    </row>
    <row r="303" spans="1:10" ht="26.4" x14ac:dyDescent="0.25">
      <c r="A303" s="1"/>
      <c r="B303" s="25"/>
      <c r="C303" s="16" t="s">
        <v>94</v>
      </c>
      <c r="D303" s="16" t="s">
        <v>88</v>
      </c>
      <c r="E303" s="21" t="s">
        <v>494</v>
      </c>
      <c r="F303" s="16"/>
      <c r="G303" s="98" t="s">
        <v>365</v>
      </c>
      <c r="H303" s="41">
        <f>H304</f>
        <v>1446</v>
      </c>
      <c r="I303" s="41">
        <f t="shared" si="107"/>
        <v>1446</v>
      </c>
      <c r="J303" s="93">
        <f t="shared" ref="J303:J366" si="108">ROUND((I303/H303*100),1)</f>
        <v>100</v>
      </c>
    </row>
    <row r="304" spans="1:10" x14ac:dyDescent="0.25">
      <c r="A304" s="1"/>
      <c r="B304" s="25"/>
      <c r="C304" s="16" t="s">
        <v>94</v>
      </c>
      <c r="D304" s="16" t="s">
        <v>88</v>
      </c>
      <c r="E304" s="21" t="s">
        <v>494</v>
      </c>
      <c r="F304" s="82" t="s">
        <v>244</v>
      </c>
      <c r="G304" s="98" t="s">
        <v>266</v>
      </c>
      <c r="H304" s="41">
        <f>1515.6-69.6</f>
        <v>1446</v>
      </c>
      <c r="I304" s="41">
        <v>1446</v>
      </c>
      <c r="J304" s="93">
        <f t="shared" si="108"/>
        <v>100</v>
      </c>
    </row>
    <row r="305" spans="1:10" ht="39.6" x14ac:dyDescent="0.25">
      <c r="A305" s="1"/>
      <c r="B305" s="25"/>
      <c r="C305" s="16" t="s">
        <v>94</v>
      </c>
      <c r="D305" s="16" t="s">
        <v>88</v>
      </c>
      <c r="E305" s="82" t="s">
        <v>25</v>
      </c>
      <c r="F305" s="82"/>
      <c r="G305" s="98" t="s">
        <v>39</v>
      </c>
      <c r="H305" s="41">
        <f>H306</f>
        <v>50</v>
      </c>
      <c r="I305" s="41">
        <f t="shared" ref="I305" si="109">I306</f>
        <v>0</v>
      </c>
      <c r="J305" s="93">
        <f t="shared" si="108"/>
        <v>0</v>
      </c>
    </row>
    <row r="306" spans="1:10" ht="52.8" x14ac:dyDescent="0.25">
      <c r="A306" s="1"/>
      <c r="B306" s="25"/>
      <c r="C306" s="16" t="s">
        <v>94</v>
      </c>
      <c r="D306" s="16" t="s">
        <v>88</v>
      </c>
      <c r="E306" s="82" t="s">
        <v>555</v>
      </c>
      <c r="F306" s="16"/>
      <c r="G306" s="54" t="s">
        <v>554</v>
      </c>
      <c r="H306" s="41">
        <f>SUM(H307:H307)</f>
        <v>50</v>
      </c>
      <c r="I306" s="41">
        <f>SUM(I307:I307)</f>
        <v>0</v>
      </c>
      <c r="J306" s="93">
        <f t="shared" si="108"/>
        <v>0</v>
      </c>
    </row>
    <row r="307" spans="1:10" ht="39.6" x14ac:dyDescent="0.25">
      <c r="A307" s="1"/>
      <c r="B307" s="25"/>
      <c r="C307" s="16" t="s">
        <v>94</v>
      </c>
      <c r="D307" s="16" t="s">
        <v>88</v>
      </c>
      <c r="E307" s="82" t="s">
        <v>555</v>
      </c>
      <c r="F307" s="82" t="s">
        <v>205</v>
      </c>
      <c r="G307" s="97" t="s">
        <v>206</v>
      </c>
      <c r="H307" s="39">
        <v>50</v>
      </c>
      <c r="I307" s="39">
        <v>0</v>
      </c>
      <c r="J307" s="93">
        <f t="shared" si="108"/>
        <v>0</v>
      </c>
    </row>
    <row r="308" spans="1:10" ht="14.4" x14ac:dyDescent="0.3">
      <c r="A308" s="1"/>
      <c r="B308" s="25"/>
      <c r="C308" s="30" t="s">
        <v>94</v>
      </c>
      <c r="D308" s="30" t="s">
        <v>92</v>
      </c>
      <c r="E308" s="30"/>
      <c r="F308" s="30"/>
      <c r="G308" s="27" t="s">
        <v>49</v>
      </c>
      <c r="H308" s="40">
        <f>H309+H316+H351+H361</f>
        <v>52031.9</v>
      </c>
      <c r="I308" s="40">
        <f>I309+I316+I351+I361</f>
        <v>50608.399999999994</v>
      </c>
      <c r="J308" s="42">
        <f t="shared" si="108"/>
        <v>97.3</v>
      </c>
    </row>
    <row r="309" spans="1:10" ht="92.4" x14ac:dyDescent="0.25">
      <c r="A309" s="1"/>
      <c r="B309" s="25"/>
      <c r="C309" s="82" t="s">
        <v>94</v>
      </c>
      <c r="D309" s="82" t="s">
        <v>92</v>
      </c>
      <c r="E309" s="78" t="s">
        <v>66</v>
      </c>
      <c r="F309" s="16"/>
      <c r="G309" s="63" t="s">
        <v>561</v>
      </c>
      <c r="H309" s="95">
        <f t="shared" ref="H309:I310" si="110">H310</f>
        <v>524.5</v>
      </c>
      <c r="I309" s="95">
        <f t="shared" si="110"/>
        <v>520.9</v>
      </c>
      <c r="J309" s="62">
        <f t="shared" si="108"/>
        <v>99.3</v>
      </c>
    </row>
    <row r="310" spans="1:10" ht="52.8" x14ac:dyDescent="0.25">
      <c r="A310" s="1"/>
      <c r="B310" s="25"/>
      <c r="C310" s="47" t="s">
        <v>94</v>
      </c>
      <c r="D310" s="47" t="s">
        <v>92</v>
      </c>
      <c r="E310" s="77" t="s">
        <v>67</v>
      </c>
      <c r="F310" s="16"/>
      <c r="G310" s="60" t="s">
        <v>483</v>
      </c>
      <c r="H310" s="92">
        <f t="shared" si="110"/>
        <v>524.5</v>
      </c>
      <c r="I310" s="92">
        <f t="shared" si="110"/>
        <v>520.9</v>
      </c>
      <c r="J310" s="58">
        <f t="shared" si="108"/>
        <v>99.3</v>
      </c>
    </row>
    <row r="311" spans="1:10" ht="66" x14ac:dyDescent="0.25">
      <c r="A311" s="1"/>
      <c r="B311" s="25"/>
      <c r="C311" s="82" t="s">
        <v>94</v>
      </c>
      <c r="D311" s="82" t="s">
        <v>92</v>
      </c>
      <c r="E311" s="74">
        <v>610100000</v>
      </c>
      <c r="F311" s="16"/>
      <c r="G311" s="97" t="s">
        <v>482</v>
      </c>
      <c r="H311" s="39">
        <f>H312+H314</f>
        <v>524.5</v>
      </c>
      <c r="I311" s="39">
        <f t="shared" ref="I311" si="111">I312+I314</f>
        <v>520.9</v>
      </c>
      <c r="J311" s="93">
        <f t="shared" si="108"/>
        <v>99.3</v>
      </c>
    </row>
    <row r="312" spans="1:10" ht="39.6" x14ac:dyDescent="0.25">
      <c r="A312" s="1"/>
      <c r="B312" s="25"/>
      <c r="C312" s="82" t="s">
        <v>94</v>
      </c>
      <c r="D312" s="82" t="s">
        <v>92</v>
      </c>
      <c r="E312" s="135" t="s">
        <v>481</v>
      </c>
      <c r="F312" s="16"/>
      <c r="G312" s="97" t="s">
        <v>589</v>
      </c>
      <c r="H312" s="41">
        <f t="shared" ref="H312:I312" si="112">H313</f>
        <v>515.5</v>
      </c>
      <c r="I312" s="41">
        <f t="shared" si="112"/>
        <v>515.5</v>
      </c>
      <c r="J312" s="93">
        <f t="shared" si="108"/>
        <v>100</v>
      </c>
    </row>
    <row r="313" spans="1:10" ht="39.6" x14ac:dyDescent="0.25">
      <c r="A313" s="1"/>
      <c r="B313" s="25"/>
      <c r="C313" s="82" t="s">
        <v>94</v>
      </c>
      <c r="D313" s="82" t="s">
        <v>92</v>
      </c>
      <c r="E313" s="135" t="s">
        <v>481</v>
      </c>
      <c r="F313" s="82" t="s">
        <v>205</v>
      </c>
      <c r="G313" s="97" t="s">
        <v>206</v>
      </c>
      <c r="H313" s="41">
        <f>520.3+300-304.8</f>
        <v>515.5</v>
      </c>
      <c r="I313" s="41">
        <v>515.5</v>
      </c>
      <c r="J313" s="93">
        <f t="shared" si="108"/>
        <v>100</v>
      </c>
    </row>
    <row r="314" spans="1:10" ht="39.6" x14ac:dyDescent="0.25">
      <c r="A314" s="1"/>
      <c r="B314" s="25"/>
      <c r="C314" s="82" t="s">
        <v>94</v>
      </c>
      <c r="D314" s="82" t="s">
        <v>92</v>
      </c>
      <c r="E314" s="135" t="s">
        <v>535</v>
      </c>
      <c r="F314" s="82"/>
      <c r="G314" s="97" t="s">
        <v>536</v>
      </c>
      <c r="H314" s="41">
        <f>H315</f>
        <v>9</v>
      </c>
      <c r="I314" s="41">
        <f t="shared" ref="I314" si="113">I315</f>
        <v>5.4</v>
      </c>
      <c r="J314" s="93">
        <f t="shared" si="108"/>
        <v>60</v>
      </c>
    </row>
    <row r="315" spans="1:10" ht="39.6" x14ac:dyDescent="0.25">
      <c r="A315" s="1"/>
      <c r="B315" s="25"/>
      <c r="C315" s="82" t="s">
        <v>94</v>
      </c>
      <c r="D315" s="82" t="s">
        <v>92</v>
      </c>
      <c r="E315" s="135" t="s">
        <v>535</v>
      </c>
      <c r="F315" s="82" t="s">
        <v>205</v>
      </c>
      <c r="G315" s="97" t="s">
        <v>206</v>
      </c>
      <c r="H315" s="41">
        <v>9</v>
      </c>
      <c r="I315" s="41">
        <v>5.4</v>
      </c>
      <c r="J315" s="93">
        <f t="shared" si="108"/>
        <v>60</v>
      </c>
    </row>
    <row r="316" spans="1:10" ht="92.4" x14ac:dyDescent="0.25">
      <c r="A316" s="1"/>
      <c r="B316" s="25"/>
      <c r="C316" s="5" t="s">
        <v>94</v>
      </c>
      <c r="D316" s="5" t="s">
        <v>92</v>
      </c>
      <c r="E316" s="73" t="s">
        <v>56</v>
      </c>
      <c r="F316" s="16"/>
      <c r="G316" s="53" t="s">
        <v>571</v>
      </c>
      <c r="H316" s="95">
        <f>H317+H329+H333+H342</f>
        <v>30614.400000000001</v>
      </c>
      <c r="I316" s="95">
        <f>I317+I329+I333+I342</f>
        <v>29379.8</v>
      </c>
      <c r="J316" s="62">
        <f t="shared" si="108"/>
        <v>96</v>
      </c>
    </row>
    <row r="317" spans="1:10" ht="52.8" x14ac:dyDescent="0.25">
      <c r="A317" s="1"/>
      <c r="B317" s="25"/>
      <c r="C317" s="82" t="s">
        <v>94</v>
      </c>
      <c r="D317" s="82" t="s">
        <v>92</v>
      </c>
      <c r="E317" s="52" t="s">
        <v>57</v>
      </c>
      <c r="F317" s="47"/>
      <c r="G317" s="48" t="s">
        <v>690</v>
      </c>
      <c r="H317" s="92">
        <f>H318+H326</f>
        <v>10813.7</v>
      </c>
      <c r="I317" s="92">
        <f>I318+I326</f>
        <v>10734.499999999998</v>
      </c>
      <c r="J317" s="58">
        <f t="shared" si="108"/>
        <v>99.3</v>
      </c>
    </row>
    <row r="318" spans="1:10" ht="39.6" x14ac:dyDescent="0.25">
      <c r="A318" s="1"/>
      <c r="B318" s="25"/>
      <c r="C318" s="16" t="s">
        <v>94</v>
      </c>
      <c r="D318" s="82" t="s">
        <v>92</v>
      </c>
      <c r="E318" s="21" t="s">
        <v>231</v>
      </c>
      <c r="F318" s="47"/>
      <c r="G318" s="98" t="s">
        <v>597</v>
      </c>
      <c r="H318" s="92">
        <f>H319+H321+H324</f>
        <v>10463.700000000001</v>
      </c>
      <c r="I318" s="92">
        <f>I319+I321+I324</f>
        <v>10384.499999999998</v>
      </c>
      <c r="J318" s="93">
        <f t="shared" si="108"/>
        <v>99.2</v>
      </c>
    </row>
    <row r="319" spans="1:10" ht="39.6" x14ac:dyDescent="0.25">
      <c r="A319" s="1"/>
      <c r="B319" s="25"/>
      <c r="C319" s="16" t="s">
        <v>94</v>
      </c>
      <c r="D319" s="82" t="s">
        <v>92</v>
      </c>
      <c r="E319" s="74">
        <v>1210123505</v>
      </c>
      <c r="F319" s="21"/>
      <c r="G319" s="97" t="s">
        <v>507</v>
      </c>
      <c r="H319" s="41">
        <f>H320</f>
        <v>4068.2000000000003</v>
      </c>
      <c r="I319" s="41">
        <f>I320</f>
        <v>3995</v>
      </c>
      <c r="J319" s="93">
        <f t="shared" si="108"/>
        <v>98.2</v>
      </c>
    </row>
    <row r="320" spans="1:10" ht="39.6" x14ac:dyDescent="0.25">
      <c r="A320" s="1"/>
      <c r="B320" s="25"/>
      <c r="C320" s="82" t="s">
        <v>94</v>
      </c>
      <c r="D320" s="82" t="s">
        <v>92</v>
      </c>
      <c r="E320" s="74">
        <v>1210123505</v>
      </c>
      <c r="F320" s="82" t="s">
        <v>205</v>
      </c>
      <c r="G320" s="97" t="s">
        <v>206</v>
      </c>
      <c r="H320" s="39">
        <f>4057.1+14.3-3.2</f>
        <v>4068.2000000000003</v>
      </c>
      <c r="I320" s="39">
        <v>3995</v>
      </c>
      <c r="J320" s="93">
        <f t="shared" si="108"/>
        <v>98.2</v>
      </c>
    </row>
    <row r="321" spans="1:10" ht="66" x14ac:dyDescent="0.25">
      <c r="A321" s="1"/>
      <c r="B321" s="25"/>
      <c r="C321" s="82" t="s">
        <v>94</v>
      </c>
      <c r="D321" s="82" t="s">
        <v>92</v>
      </c>
      <c r="E321" s="74">
        <v>1210123510</v>
      </c>
      <c r="F321" s="21"/>
      <c r="G321" s="97" t="s">
        <v>232</v>
      </c>
      <c r="H321" s="41">
        <f>SUM(H322:H323)</f>
        <v>5263.6</v>
      </c>
      <c r="I321" s="41">
        <f t="shared" ref="I321" si="114">SUM(I322:I323)</f>
        <v>5257.5999999999995</v>
      </c>
      <c r="J321" s="93">
        <f t="shared" si="108"/>
        <v>99.9</v>
      </c>
    </row>
    <row r="322" spans="1:10" ht="39.6" x14ac:dyDescent="0.25">
      <c r="A322" s="1"/>
      <c r="B322" s="25"/>
      <c r="C322" s="16" t="s">
        <v>94</v>
      </c>
      <c r="D322" s="82" t="s">
        <v>92</v>
      </c>
      <c r="E322" s="74">
        <v>1210123510</v>
      </c>
      <c r="F322" s="82" t="s">
        <v>205</v>
      </c>
      <c r="G322" s="97" t="s">
        <v>206</v>
      </c>
      <c r="H322" s="41">
        <f>5538.8-14.3-63.9-0.2-218+15+6</f>
        <v>5263.4000000000005</v>
      </c>
      <c r="I322" s="41">
        <v>5257.4</v>
      </c>
      <c r="J322" s="93">
        <f t="shared" si="108"/>
        <v>99.9</v>
      </c>
    </row>
    <row r="323" spans="1:10" x14ac:dyDescent="0.25">
      <c r="A323" s="1"/>
      <c r="B323" s="25"/>
      <c r="C323" s="16" t="s">
        <v>94</v>
      </c>
      <c r="D323" s="82" t="s">
        <v>92</v>
      </c>
      <c r="E323" s="74">
        <v>1210123510</v>
      </c>
      <c r="F323" s="82" t="s">
        <v>652</v>
      </c>
      <c r="G323" s="97" t="s">
        <v>653</v>
      </c>
      <c r="H323" s="41">
        <v>0.2</v>
      </c>
      <c r="I323" s="41">
        <v>0.2</v>
      </c>
      <c r="J323" s="93">
        <f t="shared" si="108"/>
        <v>100</v>
      </c>
    </row>
    <row r="324" spans="1:10" ht="26.4" x14ac:dyDescent="0.25">
      <c r="A324" s="1"/>
      <c r="B324" s="25"/>
      <c r="C324" s="82" t="s">
        <v>94</v>
      </c>
      <c r="D324" s="82" t="s">
        <v>92</v>
      </c>
      <c r="E324" s="74">
        <v>1210123515</v>
      </c>
      <c r="F324" s="16"/>
      <c r="G324" s="97" t="s">
        <v>23</v>
      </c>
      <c r="H324" s="41">
        <f>H325</f>
        <v>1131.9000000000001</v>
      </c>
      <c r="I324" s="41">
        <f>I325</f>
        <v>1131.9000000000001</v>
      </c>
      <c r="J324" s="93">
        <f t="shared" si="108"/>
        <v>100</v>
      </c>
    </row>
    <row r="325" spans="1:10" ht="39.6" x14ac:dyDescent="0.25">
      <c r="A325" s="1"/>
      <c r="B325" s="25"/>
      <c r="C325" s="82" t="s">
        <v>94</v>
      </c>
      <c r="D325" s="82" t="s">
        <v>92</v>
      </c>
      <c r="E325" s="74">
        <v>1210123515</v>
      </c>
      <c r="F325" s="82" t="s">
        <v>205</v>
      </c>
      <c r="G325" s="97" t="s">
        <v>206</v>
      </c>
      <c r="H325" s="41">
        <v>1131.9000000000001</v>
      </c>
      <c r="I325" s="41">
        <v>1131.9000000000001</v>
      </c>
      <c r="J325" s="93">
        <f t="shared" si="108"/>
        <v>100</v>
      </c>
    </row>
    <row r="326" spans="1:10" ht="28.5" customHeight="1" x14ac:dyDescent="0.25">
      <c r="A326" s="1"/>
      <c r="B326" s="25"/>
      <c r="C326" s="47" t="s">
        <v>94</v>
      </c>
      <c r="D326" s="47" t="s">
        <v>92</v>
      </c>
      <c r="E326" s="21" t="s">
        <v>283</v>
      </c>
      <c r="F326" s="82"/>
      <c r="G326" s="98" t="s">
        <v>284</v>
      </c>
      <c r="H326" s="41">
        <f>H327</f>
        <v>350</v>
      </c>
      <c r="I326" s="41">
        <f t="shared" ref="I326" si="115">I327</f>
        <v>350</v>
      </c>
      <c r="J326" s="93">
        <f t="shared" si="108"/>
        <v>100</v>
      </c>
    </row>
    <row r="327" spans="1:10" ht="26.4" x14ac:dyDescent="0.25">
      <c r="A327" s="1"/>
      <c r="B327" s="25"/>
      <c r="C327" s="16" t="s">
        <v>94</v>
      </c>
      <c r="D327" s="82" t="s">
        <v>92</v>
      </c>
      <c r="E327" s="74">
        <v>1210223520</v>
      </c>
      <c r="F327" s="16"/>
      <c r="G327" s="97" t="s">
        <v>233</v>
      </c>
      <c r="H327" s="41">
        <f>H328</f>
        <v>350</v>
      </c>
      <c r="I327" s="41">
        <f>I328</f>
        <v>350</v>
      </c>
      <c r="J327" s="93">
        <f t="shared" si="108"/>
        <v>100</v>
      </c>
    </row>
    <row r="328" spans="1:10" ht="39.6" x14ac:dyDescent="0.25">
      <c r="A328" s="1"/>
      <c r="B328" s="25"/>
      <c r="C328" s="82" t="s">
        <v>94</v>
      </c>
      <c r="D328" s="82" t="s">
        <v>92</v>
      </c>
      <c r="E328" s="74">
        <v>1210223520</v>
      </c>
      <c r="F328" s="82" t="s">
        <v>205</v>
      </c>
      <c r="G328" s="97" t="s">
        <v>206</v>
      </c>
      <c r="H328" s="39">
        <v>350</v>
      </c>
      <c r="I328" s="39">
        <v>350</v>
      </c>
      <c r="J328" s="93">
        <f t="shared" si="108"/>
        <v>100</v>
      </c>
    </row>
    <row r="329" spans="1:10" ht="26.4" x14ac:dyDescent="0.25">
      <c r="A329" s="1"/>
      <c r="B329" s="25"/>
      <c r="C329" s="82" t="s">
        <v>94</v>
      </c>
      <c r="D329" s="82" t="s">
        <v>92</v>
      </c>
      <c r="E329" s="52" t="s">
        <v>58</v>
      </c>
      <c r="F329" s="47"/>
      <c r="G329" s="48" t="s">
        <v>26</v>
      </c>
      <c r="H329" s="92">
        <f>H330</f>
        <v>1963.8</v>
      </c>
      <c r="I329" s="92">
        <f>I330</f>
        <v>1922.2</v>
      </c>
      <c r="J329" s="58">
        <f t="shared" si="108"/>
        <v>97.9</v>
      </c>
    </row>
    <row r="330" spans="1:10" ht="16.5" customHeight="1" x14ac:dyDescent="0.25">
      <c r="A330" s="1"/>
      <c r="B330" s="25"/>
      <c r="C330" s="82" t="s">
        <v>94</v>
      </c>
      <c r="D330" s="82" t="s">
        <v>92</v>
      </c>
      <c r="E330" s="21" t="s">
        <v>234</v>
      </c>
      <c r="F330" s="47"/>
      <c r="G330" s="98" t="s">
        <v>235</v>
      </c>
      <c r="H330" s="39">
        <f t="shared" ref="H330:I331" si="116">H331</f>
        <v>1963.8</v>
      </c>
      <c r="I330" s="39">
        <f t="shared" si="116"/>
        <v>1922.2</v>
      </c>
      <c r="J330" s="93">
        <f t="shared" si="108"/>
        <v>97.9</v>
      </c>
    </row>
    <row r="331" spans="1:10" ht="26.4" x14ac:dyDescent="0.25">
      <c r="A331" s="1"/>
      <c r="B331" s="25"/>
      <c r="C331" s="82" t="s">
        <v>94</v>
      </c>
      <c r="D331" s="82" t="s">
        <v>92</v>
      </c>
      <c r="E331" s="79">
        <v>1220123525</v>
      </c>
      <c r="F331" s="16"/>
      <c r="G331" s="97" t="s">
        <v>185</v>
      </c>
      <c r="H331" s="41">
        <f t="shared" si="116"/>
        <v>1963.8</v>
      </c>
      <c r="I331" s="41">
        <f t="shared" si="116"/>
        <v>1922.2</v>
      </c>
      <c r="J331" s="93">
        <f t="shared" si="108"/>
        <v>97.9</v>
      </c>
    </row>
    <row r="332" spans="1:10" ht="39.6" x14ac:dyDescent="0.25">
      <c r="A332" s="1"/>
      <c r="B332" s="25"/>
      <c r="C332" s="82" t="s">
        <v>94</v>
      </c>
      <c r="D332" s="82" t="s">
        <v>92</v>
      </c>
      <c r="E332" s="79">
        <v>1220123525</v>
      </c>
      <c r="F332" s="82" t="s">
        <v>205</v>
      </c>
      <c r="G332" s="97" t="s">
        <v>206</v>
      </c>
      <c r="H332" s="41">
        <f>1972.7-8.9</f>
        <v>1963.8</v>
      </c>
      <c r="I332" s="41">
        <v>1922.2</v>
      </c>
      <c r="J332" s="93">
        <f t="shared" si="108"/>
        <v>97.9</v>
      </c>
    </row>
    <row r="333" spans="1:10" ht="39.6" x14ac:dyDescent="0.25">
      <c r="A333" s="1"/>
      <c r="B333" s="25"/>
      <c r="C333" s="82" t="s">
        <v>94</v>
      </c>
      <c r="D333" s="82" t="s">
        <v>92</v>
      </c>
      <c r="E333" s="52" t="s">
        <v>59</v>
      </c>
      <c r="F333" s="47"/>
      <c r="G333" s="48" t="s">
        <v>598</v>
      </c>
      <c r="H333" s="92">
        <f>H334</f>
        <v>4668.4000000000005</v>
      </c>
      <c r="I333" s="92">
        <f>I334</f>
        <v>4106.3999999999996</v>
      </c>
      <c r="J333" s="58">
        <f t="shared" si="108"/>
        <v>88</v>
      </c>
    </row>
    <row r="334" spans="1:10" ht="52.8" x14ac:dyDescent="0.25">
      <c r="A334" s="1"/>
      <c r="B334" s="25"/>
      <c r="C334" s="82" t="s">
        <v>94</v>
      </c>
      <c r="D334" s="82" t="s">
        <v>92</v>
      </c>
      <c r="E334" s="21" t="s">
        <v>236</v>
      </c>
      <c r="F334" s="47"/>
      <c r="G334" s="98" t="s">
        <v>237</v>
      </c>
      <c r="H334" s="39">
        <f>H335+H338+H340</f>
        <v>4668.4000000000005</v>
      </c>
      <c r="I334" s="39">
        <f>I335+I338+I340</f>
        <v>4106.3999999999996</v>
      </c>
      <c r="J334" s="93">
        <f t="shared" si="108"/>
        <v>88</v>
      </c>
    </row>
    <row r="335" spans="1:10" ht="26.4" x14ac:dyDescent="0.25">
      <c r="A335" s="1"/>
      <c r="B335" s="25"/>
      <c r="C335" s="82" t="s">
        <v>94</v>
      </c>
      <c r="D335" s="82" t="s">
        <v>92</v>
      </c>
      <c r="E335" s="21" t="s">
        <v>508</v>
      </c>
      <c r="F335" s="16"/>
      <c r="G335" s="97" t="s">
        <v>298</v>
      </c>
      <c r="H335" s="41">
        <f>SUM(H336:H337)</f>
        <v>3681.3</v>
      </c>
      <c r="I335" s="41">
        <f>SUM(I336:I337)</f>
        <v>3140.1</v>
      </c>
      <c r="J335" s="93">
        <f t="shared" si="108"/>
        <v>85.3</v>
      </c>
    </row>
    <row r="336" spans="1:10" ht="39.6" x14ac:dyDescent="0.25">
      <c r="A336" s="1"/>
      <c r="B336" s="25"/>
      <c r="C336" s="82" t="s">
        <v>94</v>
      </c>
      <c r="D336" s="82" t="s">
        <v>92</v>
      </c>
      <c r="E336" s="21" t="s">
        <v>508</v>
      </c>
      <c r="F336" s="82" t="s">
        <v>205</v>
      </c>
      <c r="G336" s="97" t="s">
        <v>206</v>
      </c>
      <c r="H336" s="41">
        <f>3681.3-0.6</f>
        <v>3680.7000000000003</v>
      </c>
      <c r="I336" s="41">
        <v>3139.5</v>
      </c>
      <c r="J336" s="93">
        <f t="shared" si="108"/>
        <v>85.3</v>
      </c>
    </row>
    <row r="337" spans="1:10" x14ac:dyDescent="0.25">
      <c r="A337" s="1"/>
      <c r="B337" s="25"/>
      <c r="C337" s="82" t="s">
        <v>94</v>
      </c>
      <c r="D337" s="82" t="s">
        <v>92</v>
      </c>
      <c r="E337" s="21" t="s">
        <v>508</v>
      </c>
      <c r="F337" s="82" t="s">
        <v>652</v>
      </c>
      <c r="G337" s="97" t="s">
        <v>653</v>
      </c>
      <c r="H337" s="41">
        <v>0.6</v>
      </c>
      <c r="I337" s="41">
        <v>0.6</v>
      </c>
      <c r="J337" s="93">
        <f t="shared" si="108"/>
        <v>100</v>
      </c>
    </row>
    <row r="338" spans="1:10" ht="26.4" x14ac:dyDescent="0.25">
      <c r="A338" s="1"/>
      <c r="B338" s="25"/>
      <c r="C338" s="82" t="s">
        <v>94</v>
      </c>
      <c r="D338" s="82" t="s">
        <v>92</v>
      </c>
      <c r="E338" s="21" t="s">
        <v>509</v>
      </c>
      <c r="F338" s="16"/>
      <c r="G338" s="97" t="s">
        <v>24</v>
      </c>
      <c r="H338" s="41">
        <f>H339</f>
        <v>980.1</v>
      </c>
      <c r="I338" s="41">
        <f>I339</f>
        <v>959.3</v>
      </c>
      <c r="J338" s="93">
        <f t="shared" si="108"/>
        <v>97.9</v>
      </c>
    </row>
    <row r="339" spans="1:10" ht="39.6" x14ac:dyDescent="0.25">
      <c r="A339" s="1"/>
      <c r="B339" s="25"/>
      <c r="C339" s="82" t="s">
        <v>94</v>
      </c>
      <c r="D339" s="82" t="s">
        <v>92</v>
      </c>
      <c r="E339" s="21" t="s">
        <v>509</v>
      </c>
      <c r="F339" s="82" t="s">
        <v>205</v>
      </c>
      <c r="G339" s="97" t="s">
        <v>206</v>
      </c>
      <c r="H339" s="41">
        <f>600+380.1</f>
        <v>980.1</v>
      </c>
      <c r="I339" s="41">
        <v>959.3</v>
      </c>
      <c r="J339" s="93">
        <f t="shared" si="108"/>
        <v>97.9</v>
      </c>
    </row>
    <row r="340" spans="1:10" ht="26.4" x14ac:dyDescent="0.25">
      <c r="A340" s="1"/>
      <c r="B340" s="25"/>
      <c r="C340" s="82" t="s">
        <v>94</v>
      </c>
      <c r="D340" s="82" t="s">
        <v>92</v>
      </c>
      <c r="E340" s="21" t="s">
        <v>510</v>
      </c>
      <c r="F340" s="16"/>
      <c r="G340" s="97" t="s">
        <v>186</v>
      </c>
      <c r="H340" s="41">
        <f>H341</f>
        <v>7</v>
      </c>
      <c r="I340" s="41">
        <f>I341</f>
        <v>7</v>
      </c>
      <c r="J340" s="93">
        <f t="shared" si="108"/>
        <v>100</v>
      </c>
    </row>
    <row r="341" spans="1:10" ht="39.6" x14ac:dyDescent="0.25">
      <c r="A341" s="1"/>
      <c r="B341" s="25"/>
      <c r="C341" s="82" t="s">
        <v>94</v>
      </c>
      <c r="D341" s="82" t="s">
        <v>92</v>
      </c>
      <c r="E341" s="21" t="s">
        <v>510</v>
      </c>
      <c r="F341" s="82" t="s">
        <v>205</v>
      </c>
      <c r="G341" s="97" t="s">
        <v>206</v>
      </c>
      <c r="H341" s="41">
        <v>7</v>
      </c>
      <c r="I341" s="41">
        <v>7</v>
      </c>
      <c r="J341" s="93">
        <f t="shared" si="108"/>
        <v>100</v>
      </c>
    </row>
    <row r="342" spans="1:10" ht="52.8" x14ac:dyDescent="0.25">
      <c r="A342" s="1"/>
      <c r="B342" s="25"/>
      <c r="C342" s="82" t="s">
        <v>94</v>
      </c>
      <c r="D342" s="82" t="s">
        <v>92</v>
      </c>
      <c r="E342" s="52" t="s">
        <v>511</v>
      </c>
      <c r="F342" s="16"/>
      <c r="G342" s="60" t="s">
        <v>512</v>
      </c>
      <c r="H342" s="92">
        <f>H343+H346</f>
        <v>13168.5</v>
      </c>
      <c r="I342" s="92">
        <f>I343+I346</f>
        <v>12616.7</v>
      </c>
      <c r="J342" s="58">
        <f t="shared" si="108"/>
        <v>95.8</v>
      </c>
    </row>
    <row r="343" spans="1:10" ht="39.6" x14ac:dyDescent="0.25">
      <c r="A343" s="1"/>
      <c r="B343" s="25"/>
      <c r="C343" s="82" t="s">
        <v>94</v>
      </c>
      <c r="D343" s="82" t="s">
        <v>92</v>
      </c>
      <c r="E343" s="21" t="s">
        <v>513</v>
      </c>
      <c r="F343" s="16"/>
      <c r="G343" s="98" t="s">
        <v>514</v>
      </c>
      <c r="H343" s="41">
        <f>H344</f>
        <v>962.9</v>
      </c>
      <c r="I343" s="41">
        <f>I344</f>
        <v>845.5</v>
      </c>
      <c r="J343" s="93">
        <f t="shared" si="108"/>
        <v>87.8</v>
      </c>
    </row>
    <row r="344" spans="1:10" ht="39.6" x14ac:dyDescent="0.25">
      <c r="A344" s="1"/>
      <c r="B344" s="25"/>
      <c r="C344" s="82" t="s">
        <v>94</v>
      </c>
      <c r="D344" s="82" t="s">
        <v>92</v>
      </c>
      <c r="E344" s="21" t="s">
        <v>601</v>
      </c>
      <c r="F344" s="16"/>
      <c r="G344" s="98" t="s">
        <v>602</v>
      </c>
      <c r="H344" s="41">
        <f>H345</f>
        <v>962.9</v>
      </c>
      <c r="I344" s="41">
        <f t="shared" ref="I344" si="117">I345</f>
        <v>845.5</v>
      </c>
      <c r="J344" s="93">
        <f t="shared" si="108"/>
        <v>87.8</v>
      </c>
    </row>
    <row r="345" spans="1:10" ht="39.6" x14ac:dyDescent="0.25">
      <c r="A345" s="1"/>
      <c r="B345" s="25"/>
      <c r="C345" s="16" t="s">
        <v>94</v>
      </c>
      <c r="D345" s="16" t="s">
        <v>92</v>
      </c>
      <c r="E345" s="21" t="s">
        <v>601</v>
      </c>
      <c r="F345" s="82" t="s">
        <v>205</v>
      </c>
      <c r="G345" s="97" t="s">
        <v>206</v>
      </c>
      <c r="H345" s="41">
        <f>799.5+163.4</f>
        <v>962.9</v>
      </c>
      <c r="I345" s="41">
        <v>845.5</v>
      </c>
      <c r="J345" s="93">
        <f t="shared" si="108"/>
        <v>87.8</v>
      </c>
    </row>
    <row r="346" spans="1:10" ht="52.8" x14ac:dyDescent="0.25">
      <c r="A346" s="1"/>
      <c r="B346" s="25"/>
      <c r="C346" s="16" t="s">
        <v>94</v>
      </c>
      <c r="D346" s="16" t="s">
        <v>92</v>
      </c>
      <c r="E346" s="21" t="s">
        <v>515</v>
      </c>
      <c r="F346" s="16"/>
      <c r="G346" s="97" t="s">
        <v>672</v>
      </c>
      <c r="H346" s="41">
        <f>H347+H349</f>
        <v>12205.6</v>
      </c>
      <c r="I346" s="41">
        <f>I347+I349</f>
        <v>11771.2</v>
      </c>
      <c r="J346" s="93">
        <f t="shared" si="108"/>
        <v>96.4</v>
      </c>
    </row>
    <row r="347" spans="1:10" ht="39.6" x14ac:dyDescent="0.25">
      <c r="A347" s="1"/>
      <c r="B347" s="25"/>
      <c r="C347" s="16" t="s">
        <v>94</v>
      </c>
      <c r="D347" s="16" t="s">
        <v>92</v>
      </c>
      <c r="E347" s="21" t="s">
        <v>516</v>
      </c>
      <c r="F347" s="82"/>
      <c r="G347" s="97" t="s">
        <v>519</v>
      </c>
      <c r="H347" s="41">
        <f t="shared" ref="H347:I347" si="118">H348</f>
        <v>9200</v>
      </c>
      <c r="I347" s="41">
        <f t="shared" si="118"/>
        <v>9007.1</v>
      </c>
      <c r="J347" s="93">
        <f t="shared" si="108"/>
        <v>97.9</v>
      </c>
    </row>
    <row r="348" spans="1:10" ht="39.6" x14ac:dyDescent="0.25">
      <c r="A348" s="1"/>
      <c r="B348" s="25"/>
      <c r="C348" s="16" t="s">
        <v>94</v>
      </c>
      <c r="D348" s="16" t="s">
        <v>92</v>
      </c>
      <c r="E348" s="21" t="s">
        <v>516</v>
      </c>
      <c r="F348" s="82" t="s">
        <v>205</v>
      </c>
      <c r="G348" s="97" t="s">
        <v>206</v>
      </c>
      <c r="H348" s="41">
        <v>9200</v>
      </c>
      <c r="I348" s="41">
        <v>9007.1</v>
      </c>
      <c r="J348" s="93">
        <f t="shared" si="108"/>
        <v>97.9</v>
      </c>
    </row>
    <row r="349" spans="1:10" ht="17.25" customHeight="1" x14ac:dyDescent="0.25">
      <c r="A349" s="1"/>
      <c r="B349" s="25"/>
      <c r="C349" s="16" t="s">
        <v>94</v>
      </c>
      <c r="D349" s="16" t="s">
        <v>92</v>
      </c>
      <c r="E349" s="21" t="s">
        <v>517</v>
      </c>
      <c r="F349" s="82"/>
      <c r="G349" s="97" t="s">
        <v>518</v>
      </c>
      <c r="H349" s="41">
        <f>H350</f>
        <v>3005.6</v>
      </c>
      <c r="I349" s="41">
        <f t="shared" ref="I349" si="119">I350</f>
        <v>2764.1</v>
      </c>
      <c r="J349" s="93">
        <f t="shared" si="108"/>
        <v>92</v>
      </c>
    </row>
    <row r="350" spans="1:10" ht="39.6" x14ac:dyDescent="0.25">
      <c r="A350" s="1"/>
      <c r="B350" s="25"/>
      <c r="C350" s="16" t="s">
        <v>94</v>
      </c>
      <c r="D350" s="16" t="s">
        <v>92</v>
      </c>
      <c r="E350" s="21" t="s">
        <v>517</v>
      </c>
      <c r="F350" s="82" t="s">
        <v>205</v>
      </c>
      <c r="G350" s="97" t="s">
        <v>206</v>
      </c>
      <c r="H350" s="41">
        <f>3256.7-251.1</f>
        <v>3005.6</v>
      </c>
      <c r="I350" s="41">
        <v>2764.1</v>
      </c>
      <c r="J350" s="93">
        <f t="shared" si="108"/>
        <v>92</v>
      </c>
    </row>
    <row r="351" spans="1:10" ht="92.4" x14ac:dyDescent="0.25">
      <c r="A351" s="1"/>
      <c r="B351" s="25"/>
      <c r="C351" s="5" t="s">
        <v>94</v>
      </c>
      <c r="D351" s="5" t="s">
        <v>92</v>
      </c>
      <c r="E351" s="76">
        <v>1400000000</v>
      </c>
      <c r="F351" s="16"/>
      <c r="G351" s="139" t="s">
        <v>573</v>
      </c>
      <c r="H351" s="95">
        <f>H352</f>
        <v>18211.099999999999</v>
      </c>
      <c r="I351" s="95">
        <f t="shared" ref="I351" si="120">I352</f>
        <v>18057</v>
      </c>
      <c r="J351" s="62">
        <f t="shared" si="108"/>
        <v>99.2</v>
      </c>
    </row>
    <row r="352" spans="1:10" ht="92.4" x14ac:dyDescent="0.25">
      <c r="A352" s="1"/>
      <c r="B352" s="25"/>
      <c r="C352" s="47" t="s">
        <v>94</v>
      </c>
      <c r="D352" s="47" t="s">
        <v>92</v>
      </c>
      <c r="E352" s="75">
        <v>1410000000</v>
      </c>
      <c r="F352" s="16"/>
      <c r="G352" s="48" t="s">
        <v>210</v>
      </c>
      <c r="H352" s="92">
        <f>H353+H358</f>
        <v>18211.099999999999</v>
      </c>
      <c r="I352" s="92">
        <f>I353+I358</f>
        <v>18057</v>
      </c>
      <c r="J352" s="58">
        <f t="shared" si="108"/>
        <v>99.2</v>
      </c>
    </row>
    <row r="353" spans="1:10" ht="105.6" x14ac:dyDescent="0.25">
      <c r="A353" s="1"/>
      <c r="B353" s="25"/>
      <c r="C353" s="16" t="s">
        <v>94</v>
      </c>
      <c r="D353" s="16" t="s">
        <v>92</v>
      </c>
      <c r="E353" s="74">
        <v>1410200000</v>
      </c>
      <c r="F353" s="16"/>
      <c r="G353" s="97" t="s">
        <v>359</v>
      </c>
      <c r="H353" s="41">
        <f>H354+H356</f>
        <v>8569.5</v>
      </c>
      <c r="I353" s="41">
        <f t="shared" ref="I353" si="121">I354+I356</f>
        <v>8488.6</v>
      </c>
      <c r="J353" s="93">
        <f t="shared" si="108"/>
        <v>99.1</v>
      </c>
    </row>
    <row r="354" spans="1:10" ht="39.6" x14ac:dyDescent="0.25">
      <c r="A354" s="1"/>
      <c r="B354" s="25"/>
      <c r="C354" s="82" t="s">
        <v>94</v>
      </c>
      <c r="D354" s="82" t="s">
        <v>92</v>
      </c>
      <c r="E354" s="74">
        <v>1410223125</v>
      </c>
      <c r="F354" s="82"/>
      <c r="G354" s="97" t="s">
        <v>648</v>
      </c>
      <c r="H354" s="41">
        <f>H355</f>
        <v>1289.7</v>
      </c>
      <c r="I354" s="41">
        <f>I355</f>
        <v>1208.8</v>
      </c>
      <c r="J354" s="93">
        <f t="shared" si="108"/>
        <v>93.7</v>
      </c>
    </row>
    <row r="355" spans="1:10" ht="39.6" x14ac:dyDescent="0.25">
      <c r="A355" s="1"/>
      <c r="B355" s="25"/>
      <c r="C355" s="82" t="s">
        <v>94</v>
      </c>
      <c r="D355" s="82" t="s">
        <v>92</v>
      </c>
      <c r="E355" s="74">
        <v>1410223125</v>
      </c>
      <c r="F355" s="82" t="s">
        <v>205</v>
      </c>
      <c r="G355" s="97" t="s">
        <v>206</v>
      </c>
      <c r="H355" s="41">
        <f>1237.5+58.2-6</f>
        <v>1289.7</v>
      </c>
      <c r="I355" s="41">
        <v>1208.8</v>
      </c>
      <c r="J355" s="93">
        <f t="shared" si="108"/>
        <v>93.7</v>
      </c>
    </row>
    <row r="356" spans="1:10" ht="26.4" x14ac:dyDescent="0.25">
      <c r="A356" s="1"/>
      <c r="B356" s="25"/>
      <c r="C356" s="82" t="s">
        <v>94</v>
      </c>
      <c r="D356" s="82" t="s">
        <v>92</v>
      </c>
      <c r="E356" s="74">
        <v>1410223130</v>
      </c>
      <c r="F356" s="82"/>
      <c r="G356" s="107" t="s">
        <v>651</v>
      </c>
      <c r="H356" s="41">
        <f>H357</f>
        <v>7279.8</v>
      </c>
      <c r="I356" s="41">
        <f t="shared" ref="I356" si="122">I357</f>
        <v>7279.8</v>
      </c>
      <c r="J356" s="93">
        <f t="shared" si="108"/>
        <v>100</v>
      </c>
    </row>
    <row r="357" spans="1:10" ht="39.6" x14ac:dyDescent="0.25">
      <c r="A357" s="1"/>
      <c r="B357" s="25"/>
      <c r="C357" s="82" t="s">
        <v>94</v>
      </c>
      <c r="D357" s="82" t="s">
        <v>92</v>
      </c>
      <c r="E357" s="74">
        <v>1410223130</v>
      </c>
      <c r="F357" s="82" t="s">
        <v>205</v>
      </c>
      <c r="G357" s="97" t="s">
        <v>206</v>
      </c>
      <c r="H357" s="39">
        <f>12198.1-4918.3</f>
        <v>7279.8</v>
      </c>
      <c r="I357" s="41">
        <v>7279.8</v>
      </c>
      <c r="J357" s="93">
        <f t="shared" si="108"/>
        <v>100</v>
      </c>
    </row>
    <row r="358" spans="1:10" ht="52.8" x14ac:dyDescent="0.25">
      <c r="A358" s="1"/>
      <c r="B358" s="25"/>
      <c r="C358" s="16" t="s">
        <v>94</v>
      </c>
      <c r="D358" s="16" t="s">
        <v>92</v>
      </c>
      <c r="E358" s="74" t="s">
        <v>372</v>
      </c>
      <c r="F358" s="82"/>
      <c r="G358" s="97" t="s">
        <v>373</v>
      </c>
      <c r="H358" s="41">
        <f>H359</f>
        <v>9641.6</v>
      </c>
      <c r="I358" s="41">
        <f t="shared" ref="I358" si="123">I359</f>
        <v>9568.4</v>
      </c>
      <c r="J358" s="93">
        <f t="shared" si="108"/>
        <v>99.2</v>
      </c>
    </row>
    <row r="359" spans="1:10" ht="39.6" x14ac:dyDescent="0.25">
      <c r="A359" s="1"/>
      <c r="B359" s="25"/>
      <c r="C359" s="16" t="s">
        <v>94</v>
      </c>
      <c r="D359" s="16" t="s">
        <v>92</v>
      </c>
      <c r="E359" s="74" t="s">
        <v>347</v>
      </c>
      <c r="F359" s="16"/>
      <c r="G359" s="97" t="s">
        <v>313</v>
      </c>
      <c r="H359" s="41">
        <f>H360</f>
        <v>9641.6</v>
      </c>
      <c r="I359" s="41">
        <f>I360</f>
        <v>9568.4</v>
      </c>
      <c r="J359" s="93">
        <f t="shared" si="108"/>
        <v>99.2</v>
      </c>
    </row>
    <row r="360" spans="1:10" ht="39.6" x14ac:dyDescent="0.25">
      <c r="A360" s="1"/>
      <c r="B360" s="25"/>
      <c r="C360" s="82" t="s">
        <v>94</v>
      </c>
      <c r="D360" s="16" t="s">
        <v>92</v>
      </c>
      <c r="E360" s="74" t="s">
        <v>347</v>
      </c>
      <c r="F360" s="82" t="s">
        <v>205</v>
      </c>
      <c r="G360" s="97" t="s">
        <v>206</v>
      </c>
      <c r="H360" s="41">
        <f>717.4+8924.2</f>
        <v>9641.6</v>
      </c>
      <c r="I360" s="41">
        <v>9568.4</v>
      </c>
      <c r="J360" s="93">
        <f t="shared" si="108"/>
        <v>99.2</v>
      </c>
    </row>
    <row r="361" spans="1:10" ht="132" x14ac:dyDescent="0.25">
      <c r="A361" s="1"/>
      <c r="B361" s="25"/>
      <c r="C361" s="5" t="s">
        <v>94</v>
      </c>
      <c r="D361" s="5" t="s">
        <v>92</v>
      </c>
      <c r="E361" s="73" t="s">
        <v>533</v>
      </c>
      <c r="F361" s="82"/>
      <c r="G361" s="139" t="s">
        <v>574</v>
      </c>
      <c r="H361" s="95">
        <f>H362</f>
        <v>2681.9</v>
      </c>
      <c r="I361" s="95">
        <f t="shared" ref="I361" si="124">I362</f>
        <v>2650.7000000000003</v>
      </c>
      <c r="J361" s="62">
        <f t="shared" si="108"/>
        <v>98.8</v>
      </c>
    </row>
    <row r="362" spans="1:10" ht="54.75" customHeight="1" x14ac:dyDescent="0.25">
      <c r="A362" s="1"/>
      <c r="B362" s="25"/>
      <c r="C362" s="47" t="s">
        <v>94</v>
      </c>
      <c r="D362" s="47" t="s">
        <v>92</v>
      </c>
      <c r="E362" s="138">
        <v>1510000000</v>
      </c>
      <c r="F362" s="82"/>
      <c r="G362" s="48" t="s">
        <v>357</v>
      </c>
      <c r="H362" s="41">
        <f>H363</f>
        <v>2681.9</v>
      </c>
      <c r="I362" s="41">
        <f t="shared" ref="I362" si="125">I363</f>
        <v>2650.7000000000003</v>
      </c>
      <c r="J362" s="58">
        <f t="shared" si="108"/>
        <v>98.8</v>
      </c>
    </row>
    <row r="363" spans="1:10" ht="52.8" x14ac:dyDescent="0.25">
      <c r="A363" s="1"/>
      <c r="B363" s="25"/>
      <c r="C363" s="82" t="s">
        <v>94</v>
      </c>
      <c r="D363" s="16" t="s">
        <v>92</v>
      </c>
      <c r="E363" s="127">
        <v>1510300000</v>
      </c>
      <c r="F363" s="82"/>
      <c r="G363" s="97" t="s">
        <v>534</v>
      </c>
      <c r="H363" s="41">
        <f>H364+H366+H368+H370+H372</f>
        <v>2681.9</v>
      </c>
      <c r="I363" s="41">
        <f>I364+I366+I368+I370+I372</f>
        <v>2650.7000000000003</v>
      </c>
      <c r="J363" s="93">
        <f t="shared" si="108"/>
        <v>98.8</v>
      </c>
    </row>
    <row r="364" spans="1:10" ht="51.75" customHeight="1" x14ac:dyDescent="0.25">
      <c r="A364" s="1"/>
      <c r="B364" s="25"/>
      <c r="C364" s="82" t="s">
        <v>94</v>
      </c>
      <c r="D364" s="16" t="s">
        <v>92</v>
      </c>
      <c r="E364" s="127" t="s">
        <v>668</v>
      </c>
      <c r="F364" s="82"/>
      <c r="G364" s="155" t="s">
        <v>647</v>
      </c>
      <c r="H364" s="41">
        <f>H365</f>
        <v>516</v>
      </c>
      <c r="I364" s="41">
        <f t="shared" ref="I364" si="126">I365</f>
        <v>516</v>
      </c>
      <c r="J364" s="93">
        <f t="shared" si="108"/>
        <v>100</v>
      </c>
    </row>
    <row r="365" spans="1:10" ht="39.6" x14ac:dyDescent="0.25">
      <c r="A365" s="1"/>
      <c r="B365" s="25"/>
      <c r="C365" s="82" t="s">
        <v>94</v>
      </c>
      <c r="D365" s="16" t="s">
        <v>92</v>
      </c>
      <c r="E365" s="127" t="s">
        <v>668</v>
      </c>
      <c r="F365" s="82" t="s">
        <v>205</v>
      </c>
      <c r="G365" s="97" t="s">
        <v>206</v>
      </c>
      <c r="H365" s="41">
        <v>516</v>
      </c>
      <c r="I365" s="41">
        <v>516</v>
      </c>
      <c r="J365" s="93">
        <f t="shared" si="108"/>
        <v>100</v>
      </c>
    </row>
    <row r="366" spans="1:10" ht="51" customHeight="1" x14ac:dyDescent="0.25">
      <c r="A366" s="1"/>
      <c r="B366" s="25"/>
      <c r="C366" s="82" t="s">
        <v>94</v>
      </c>
      <c r="D366" s="16" t="s">
        <v>92</v>
      </c>
      <c r="E366" s="127">
        <v>1510319022</v>
      </c>
      <c r="F366" s="82"/>
      <c r="G366" s="155" t="s">
        <v>647</v>
      </c>
      <c r="H366" s="41">
        <f>H367</f>
        <v>525.9</v>
      </c>
      <c r="I366" s="41">
        <f t="shared" ref="I366" si="127">I367</f>
        <v>525.9</v>
      </c>
      <c r="J366" s="93">
        <f t="shared" si="108"/>
        <v>100</v>
      </c>
    </row>
    <row r="367" spans="1:10" ht="39.6" x14ac:dyDescent="0.25">
      <c r="A367" s="1"/>
      <c r="B367" s="25"/>
      <c r="C367" s="82" t="s">
        <v>94</v>
      </c>
      <c r="D367" s="16" t="s">
        <v>92</v>
      </c>
      <c r="E367" s="127">
        <v>1510319022</v>
      </c>
      <c r="F367" s="82" t="s">
        <v>205</v>
      </c>
      <c r="G367" s="97" t="s">
        <v>206</v>
      </c>
      <c r="H367" s="41">
        <v>525.9</v>
      </c>
      <c r="I367" s="41">
        <v>525.9</v>
      </c>
      <c r="J367" s="93">
        <f t="shared" ref="J367:J430" si="128">ROUND((I367/H367*100),1)</f>
        <v>100</v>
      </c>
    </row>
    <row r="368" spans="1:10" ht="51" customHeight="1" x14ac:dyDescent="0.25">
      <c r="A368" s="1"/>
      <c r="B368" s="25"/>
      <c r="C368" s="82" t="s">
        <v>94</v>
      </c>
      <c r="D368" s="16" t="s">
        <v>92</v>
      </c>
      <c r="E368" s="127">
        <v>1510319322</v>
      </c>
      <c r="F368" s="82"/>
      <c r="G368" s="155" t="s">
        <v>647</v>
      </c>
      <c r="H368" s="41">
        <f>H369</f>
        <v>10</v>
      </c>
      <c r="I368" s="41">
        <f t="shared" ref="I368" si="129">I369</f>
        <v>10</v>
      </c>
      <c r="J368" s="93">
        <f t="shared" si="128"/>
        <v>100</v>
      </c>
    </row>
    <row r="369" spans="1:10" ht="39.6" x14ac:dyDescent="0.25">
      <c r="A369" s="1"/>
      <c r="B369" s="25"/>
      <c r="C369" s="82" t="s">
        <v>94</v>
      </c>
      <c r="D369" s="16" t="s">
        <v>92</v>
      </c>
      <c r="E369" s="127">
        <v>1510319322</v>
      </c>
      <c r="F369" s="82" t="s">
        <v>205</v>
      </c>
      <c r="G369" s="97" t="s">
        <v>206</v>
      </c>
      <c r="H369" s="41">
        <v>10</v>
      </c>
      <c r="I369" s="41">
        <v>10</v>
      </c>
      <c r="J369" s="93">
        <f t="shared" si="128"/>
        <v>100</v>
      </c>
    </row>
    <row r="370" spans="1:10" ht="66" x14ac:dyDescent="0.25">
      <c r="A370" s="1"/>
      <c r="B370" s="25"/>
      <c r="C370" s="82" t="s">
        <v>94</v>
      </c>
      <c r="D370" s="16" t="s">
        <v>92</v>
      </c>
      <c r="E370" s="127" t="s">
        <v>689</v>
      </c>
      <c r="F370" s="82"/>
      <c r="G370" s="97" t="s">
        <v>688</v>
      </c>
      <c r="H370" s="41">
        <f>H371</f>
        <v>479.6</v>
      </c>
      <c r="I370" s="41">
        <f t="shared" ref="I370" si="130">I371</f>
        <v>448.4</v>
      </c>
      <c r="J370" s="93">
        <f t="shared" si="128"/>
        <v>93.5</v>
      </c>
    </row>
    <row r="371" spans="1:10" ht="39.6" x14ac:dyDescent="0.25">
      <c r="A371" s="1"/>
      <c r="B371" s="25"/>
      <c r="C371" s="82" t="s">
        <v>94</v>
      </c>
      <c r="D371" s="16" t="s">
        <v>92</v>
      </c>
      <c r="E371" s="127" t="s">
        <v>689</v>
      </c>
      <c r="F371" s="82" t="s">
        <v>205</v>
      </c>
      <c r="G371" s="97" t="s">
        <v>206</v>
      </c>
      <c r="H371" s="41">
        <v>479.6</v>
      </c>
      <c r="I371" s="41">
        <v>448.4</v>
      </c>
      <c r="J371" s="93">
        <f t="shared" si="128"/>
        <v>93.5</v>
      </c>
    </row>
    <row r="372" spans="1:10" ht="66" x14ac:dyDescent="0.25">
      <c r="A372" s="1"/>
      <c r="B372" s="25"/>
      <c r="C372" s="82" t="s">
        <v>94</v>
      </c>
      <c r="D372" s="16" t="s">
        <v>92</v>
      </c>
      <c r="E372" s="127">
        <v>1510319023</v>
      </c>
      <c r="F372" s="82"/>
      <c r="G372" s="97" t="s">
        <v>688</v>
      </c>
      <c r="H372" s="41">
        <f>H373</f>
        <v>1150.4000000000001</v>
      </c>
      <c r="I372" s="41">
        <f t="shared" ref="I372" si="131">I373</f>
        <v>1150.4000000000001</v>
      </c>
      <c r="J372" s="93">
        <f t="shared" si="128"/>
        <v>100</v>
      </c>
    </row>
    <row r="373" spans="1:10" ht="39.6" x14ac:dyDescent="0.25">
      <c r="A373" s="1"/>
      <c r="B373" s="25"/>
      <c r="C373" s="82" t="s">
        <v>94</v>
      </c>
      <c r="D373" s="16" t="s">
        <v>92</v>
      </c>
      <c r="E373" s="127">
        <v>1510319023</v>
      </c>
      <c r="F373" s="82" t="s">
        <v>205</v>
      </c>
      <c r="G373" s="97" t="s">
        <v>206</v>
      </c>
      <c r="H373" s="41">
        <f>1230.4-80</f>
        <v>1150.4000000000001</v>
      </c>
      <c r="I373" s="41">
        <v>1150.4000000000001</v>
      </c>
      <c r="J373" s="93">
        <f t="shared" si="128"/>
        <v>100</v>
      </c>
    </row>
    <row r="374" spans="1:10" ht="43.2" x14ac:dyDescent="0.3">
      <c r="A374" s="1"/>
      <c r="B374" s="25"/>
      <c r="C374" s="30" t="s">
        <v>94</v>
      </c>
      <c r="D374" s="30" t="s">
        <v>94</v>
      </c>
      <c r="E374" s="30"/>
      <c r="F374" s="30"/>
      <c r="G374" s="50" t="s">
        <v>471</v>
      </c>
      <c r="H374" s="92">
        <f t="shared" ref="H374:I376" si="132">H375</f>
        <v>1564.1</v>
      </c>
      <c r="I374" s="92">
        <f t="shared" si="132"/>
        <v>1562.1</v>
      </c>
      <c r="J374" s="42">
        <f t="shared" si="128"/>
        <v>99.9</v>
      </c>
    </row>
    <row r="375" spans="1:10" ht="66.599999999999994" x14ac:dyDescent="0.3">
      <c r="A375" s="1"/>
      <c r="B375" s="25"/>
      <c r="C375" s="5" t="s">
        <v>94</v>
      </c>
      <c r="D375" s="5" t="s">
        <v>94</v>
      </c>
      <c r="E375" s="76">
        <v>400000000</v>
      </c>
      <c r="F375" s="30"/>
      <c r="G375" s="64" t="s">
        <v>371</v>
      </c>
      <c r="H375" s="95">
        <f t="shared" si="132"/>
        <v>1564.1</v>
      </c>
      <c r="I375" s="95">
        <f t="shared" si="132"/>
        <v>1562.1</v>
      </c>
      <c r="J375" s="62">
        <f t="shared" si="128"/>
        <v>99.9</v>
      </c>
    </row>
    <row r="376" spans="1:10" ht="129.75" customHeight="1" x14ac:dyDescent="0.25">
      <c r="A376" s="1"/>
      <c r="B376" s="25"/>
      <c r="C376" s="82" t="s">
        <v>94</v>
      </c>
      <c r="D376" s="82" t="s">
        <v>94</v>
      </c>
      <c r="E376" s="75">
        <v>430000000</v>
      </c>
      <c r="F376" s="16"/>
      <c r="G376" s="46" t="s">
        <v>470</v>
      </c>
      <c r="H376" s="92">
        <f t="shared" si="132"/>
        <v>1564.1</v>
      </c>
      <c r="I376" s="92">
        <f t="shared" si="132"/>
        <v>1562.1</v>
      </c>
      <c r="J376" s="58">
        <f t="shared" si="128"/>
        <v>99.9</v>
      </c>
    </row>
    <row r="377" spans="1:10" ht="66.599999999999994" x14ac:dyDescent="0.3">
      <c r="A377" s="1"/>
      <c r="B377" s="25"/>
      <c r="C377" s="82" t="s">
        <v>94</v>
      </c>
      <c r="D377" s="82" t="s">
        <v>94</v>
      </c>
      <c r="E377" s="74">
        <v>430100000</v>
      </c>
      <c r="F377" s="30"/>
      <c r="G377" s="96" t="s">
        <v>227</v>
      </c>
      <c r="H377" s="39">
        <f>H378+H380</f>
        <v>1564.1</v>
      </c>
      <c r="I377" s="39">
        <f t="shared" ref="I377" si="133">I378+I380</f>
        <v>1562.1</v>
      </c>
      <c r="J377" s="93">
        <f t="shared" si="128"/>
        <v>99.9</v>
      </c>
    </row>
    <row r="378" spans="1:10" ht="105.75" customHeight="1" x14ac:dyDescent="0.25">
      <c r="A378" s="1"/>
      <c r="B378" s="25"/>
      <c r="C378" s="82" t="s">
        <v>94</v>
      </c>
      <c r="D378" s="82" t="s">
        <v>94</v>
      </c>
      <c r="E378" s="79">
        <v>430127310</v>
      </c>
      <c r="F378" s="16"/>
      <c r="G378" s="97" t="s">
        <v>577</v>
      </c>
      <c r="H378" s="41">
        <f>H379</f>
        <v>1418.5</v>
      </c>
      <c r="I378" s="41">
        <f>I379</f>
        <v>1418.5</v>
      </c>
      <c r="J378" s="93">
        <f t="shared" si="128"/>
        <v>100</v>
      </c>
    </row>
    <row r="379" spans="1:10" ht="66" x14ac:dyDescent="0.25">
      <c r="A379" s="1"/>
      <c r="B379" s="25"/>
      <c r="C379" s="82" t="s">
        <v>94</v>
      </c>
      <c r="D379" s="82" t="s">
        <v>94</v>
      </c>
      <c r="E379" s="79">
        <v>430127310</v>
      </c>
      <c r="F379" s="16" t="s">
        <v>12</v>
      </c>
      <c r="G379" s="97" t="s">
        <v>315</v>
      </c>
      <c r="H379" s="41">
        <f>1000+339+79.5</f>
        <v>1418.5</v>
      </c>
      <c r="I379" s="41">
        <v>1418.5</v>
      </c>
      <c r="J379" s="93">
        <f t="shared" si="128"/>
        <v>100</v>
      </c>
    </row>
    <row r="380" spans="1:10" ht="102.75" customHeight="1" x14ac:dyDescent="0.25">
      <c r="A380" s="1"/>
      <c r="B380" s="25"/>
      <c r="C380" s="82" t="s">
        <v>94</v>
      </c>
      <c r="D380" s="82" t="s">
        <v>94</v>
      </c>
      <c r="E380" s="79">
        <v>430127320</v>
      </c>
      <c r="F380" s="16"/>
      <c r="G380" s="97" t="s">
        <v>472</v>
      </c>
      <c r="H380" s="41">
        <f>H381</f>
        <v>145.60000000000002</v>
      </c>
      <c r="I380" s="41">
        <f t="shared" ref="I380" si="134">I381</f>
        <v>143.6</v>
      </c>
      <c r="J380" s="93">
        <f t="shared" si="128"/>
        <v>98.6</v>
      </c>
    </row>
    <row r="381" spans="1:10" ht="66" x14ac:dyDescent="0.25">
      <c r="A381" s="1"/>
      <c r="B381" s="25"/>
      <c r="C381" s="82" t="s">
        <v>94</v>
      </c>
      <c r="D381" s="82" t="s">
        <v>94</v>
      </c>
      <c r="E381" s="79">
        <v>430127320</v>
      </c>
      <c r="F381" s="16" t="s">
        <v>12</v>
      </c>
      <c r="G381" s="97" t="s">
        <v>315</v>
      </c>
      <c r="H381" s="41">
        <f>180.9-35.3</f>
        <v>145.60000000000002</v>
      </c>
      <c r="I381" s="41">
        <v>143.6</v>
      </c>
      <c r="J381" s="93">
        <f t="shared" si="128"/>
        <v>98.6</v>
      </c>
    </row>
    <row r="382" spans="1:10" ht="15.6" x14ac:dyDescent="0.3">
      <c r="A382" s="3"/>
      <c r="B382" s="90"/>
      <c r="C382" s="4" t="s">
        <v>109</v>
      </c>
      <c r="D382" s="3"/>
      <c r="E382" s="3"/>
      <c r="F382" s="3"/>
      <c r="G382" s="49" t="s">
        <v>110</v>
      </c>
      <c r="H382" s="91">
        <f>H383+H389+H399</f>
        <v>42975.5</v>
      </c>
      <c r="I382" s="91">
        <f>I383+I389+I399</f>
        <v>42931.7</v>
      </c>
      <c r="J382" s="186">
        <f t="shared" si="128"/>
        <v>99.9</v>
      </c>
    </row>
    <row r="383" spans="1:10" ht="15.6" x14ac:dyDescent="0.3">
      <c r="A383" s="3"/>
      <c r="B383" s="90"/>
      <c r="C383" s="35" t="s">
        <v>109</v>
      </c>
      <c r="D383" s="35" t="s">
        <v>87</v>
      </c>
      <c r="E383" s="35"/>
      <c r="F383" s="35"/>
      <c r="G383" s="45" t="s">
        <v>111</v>
      </c>
      <c r="H383" s="42">
        <f t="shared" ref="H383:I384" si="135">H384</f>
        <v>2338.3000000000002</v>
      </c>
      <c r="I383" s="42">
        <f t="shared" si="135"/>
        <v>2294.6</v>
      </c>
      <c r="J383" s="42">
        <f t="shared" si="128"/>
        <v>98.1</v>
      </c>
    </row>
    <row r="384" spans="1:10" ht="93" x14ac:dyDescent="0.3">
      <c r="A384" s="3"/>
      <c r="B384" s="90"/>
      <c r="C384" s="5" t="s">
        <v>109</v>
      </c>
      <c r="D384" s="5" t="s">
        <v>87</v>
      </c>
      <c r="E384" s="73" t="s">
        <v>36</v>
      </c>
      <c r="F384" s="3"/>
      <c r="G384" s="139" t="s">
        <v>572</v>
      </c>
      <c r="H384" s="95">
        <f t="shared" si="135"/>
        <v>2338.3000000000002</v>
      </c>
      <c r="I384" s="95">
        <f t="shared" si="135"/>
        <v>2294.6</v>
      </c>
      <c r="J384" s="62">
        <f t="shared" si="128"/>
        <v>98.1</v>
      </c>
    </row>
    <row r="385" spans="1:10" ht="27" x14ac:dyDescent="0.3">
      <c r="A385" s="3"/>
      <c r="B385" s="90"/>
      <c r="C385" s="16" t="s">
        <v>109</v>
      </c>
      <c r="D385" s="16" t="s">
        <v>87</v>
      </c>
      <c r="E385" s="52" t="s">
        <v>38</v>
      </c>
      <c r="F385" s="3"/>
      <c r="G385" s="46" t="s">
        <v>80</v>
      </c>
      <c r="H385" s="92">
        <f>H387</f>
        <v>2338.3000000000002</v>
      </c>
      <c r="I385" s="92">
        <f t="shared" ref="I385" si="136">I387</f>
        <v>2294.6</v>
      </c>
      <c r="J385" s="58">
        <f t="shared" si="128"/>
        <v>98.1</v>
      </c>
    </row>
    <row r="386" spans="1:10" ht="40.200000000000003" x14ac:dyDescent="0.3">
      <c r="A386" s="3"/>
      <c r="B386" s="90"/>
      <c r="C386" s="16" t="s">
        <v>109</v>
      </c>
      <c r="D386" s="16" t="s">
        <v>87</v>
      </c>
      <c r="E386" s="21" t="s">
        <v>272</v>
      </c>
      <c r="F386" s="3"/>
      <c r="G386" s="103" t="s">
        <v>670</v>
      </c>
      <c r="H386" s="39">
        <f t="shared" ref="H386:I387" si="137">H387</f>
        <v>2338.3000000000002</v>
      </c>
      <c r="I386" s="39">
        <f t="shared" si="137"/>
        <v>2294.6</v>
      </c>
      <c r="J386" s="93">
        <f t="shared" si="128"/>
        <v>98.1</v>
      </c>
    </row>
    <row r="387" spans="1:10" ht="27" x14ac:dyDescent="0.3">
      <c r="A387" s="3"/>
      <c r="B387" s="90"/>
      <c r="C387" s="16" t="s">
        <v>109</v>
      </c>
      <c r="D387" s="16" t="s">
        <v>87</v>
      </c>
      <c r="E387" s="79">
        <v>1320225100</v>
      </c>
      <c r="F387" s="3"/>
      <c r="G387" s="98" t="s">
        <v>358</v>
      </c>
      <c r="H387" s="41">
        <f t="shared" si="137"/>
        <v>2338.3000000000002</v>
      </c>
      <c r="I387" s="41">
        <f t="shared" si="137"/>
        <v>2294.6</v>
      </c>
      <c r="J387" s="93">
        <f t="shared" si="128"/>
        <v>98.1</v>
      </c>
    </row>
    <row r="388" spans="1:10" ht="26.4" x14ac:dyDescent="0.3">
      <c r="A388" s="3"/>
      <c r="B388" s="90"/>
      <c r="C388" s="16" t="s">
        <v>109</v>
      </c>
      <c r="D388" s="16" t="s">
        <v>87</v>
      </c>
      <c r="E388" s="79">
        <v>1320225100</v>
      </c>
      <c r="F388" s="82" t="s">
        <v>273</v>
      </c>
      <c r="G388" s="97" t="s">
        <v>274</v>
      </c>
      <c r="H388" s="39">
        <f>1585.3+753</f>
        <v>2338.3000000000002</v>
      </c>
      <c r="I388" s="39">
        <v>2294.6</v>
      </c>
      <c r="J388" s="93">
        <f t="shared" si="128"/>
        <v>98.1</v>
      </c>
    </row>
    <row r="389" spans="1:10" ht="15.6" x14ac:dyDescent="0.3">
      <c r="A389" s="3"/>
      <c r="B389" s="90"/>
      <c r="C389" s="35" t="s">
        <v>109</v>
      </c>
      <c r="D389" s="35" t="s">
        <v>92</v>
      </c>
      <c r="E389" s="35"/>
      <c r="F389" s="35"/>
      <c r="G389" s="45" t="s">
        <v>115</v>
      </c>
      <c r="H389" s="42">
        <f>H390+H395</f>
        <v>738</v>
      </c>
      <c r="I389" s="42">
        <f t="shared" ref="I389" si="138">I390+I395</f>
        <v>738</v>
      </c>
      <c r="J389" s="42">
        <f t="shared" si="128"/>
        <v>100</v>
      </c>
    </row>
    <row r="390" spans="1:10" ht="93" x14ac:dyDescent="0.3">
      <c r="A390" s="3"/>
      <c r="B390" s="90"/>
      <c r="C390" s="5" t="s">
        <v>109</v>
      </c>
      <c r="D390" s="5" t="s">
        <v>92</v>
      </c>
      <c r="E390" s="73" t="s">
        <v>36</v>
      </c>
      <c r="F390" s="3"/>
      <c r="G390" s="139" t="s">
        <v>572</v>
      </c>
      <c r="H390" s="59">
        <f t="shared" ref="H390:I390" si="139">H391</f>
        <v>688</v>
      </c>
      <c r="I390" s="59">
        <f t="shared" si="139"/>
        <v>688</v>
      </c>
      <c r="J390" s="65">
        <f t="shared" si="128"/>
        <v>100</v>
      </c>
    </row>
    <row r="391" spans="1:10" ht="27" x14ac:dyDescent="0.3">
      <c r="A391" s="3"/>
      <c r="B391" s="90"/>
      <c r="C391" s="47" t="s">
        <v>109</v>
      </c>
      <c r="D391" s="47" t="s">
        <v>92</v>
      </c>
      <c r="E391" s="52" t="s">
        <v>38</v>
      </c>
      <c r="F391" s="16"/>
      <c r="G391" s="46" t="s">
        <v>80</v>
      </c>
      <c r="H391" s="92">
        <f>H393</f>
        <v>688</v>
      </c>
      <c r="I391" s="92">
        <f t="shared" ref="I391" si="140">I393</f>
        <v>688</v>
      </c>
      <c r="J391" s="58">
        <f t="shared" si="128"/>
        <v>100</v>
      </c>
    </row>
    <row r="392" spans="1:10" ht="53.4" x14ac:dyDescent="0.3">
      <c r="A392" s="3"/>
      <c r="B392" s="90"/>
      <c r="C392" s="16" t="s">
        <v>109</v>
      </c>
      <c r="D392" s="16" t="s">
        <v>92</v>
      </c>
      <c r="E392" s="21" t="s">
        <v>272</v>
      </c>
      <c r="F392" s="16"/>
      <c r="G392" s="103" t="s">
        <v>295</v>
      </c>
      <c r="H392" s="41">
        <f t="shared" ref="H392:I393" si="141">H393</f>
        <v>688</v>
      </c>
      <c r="I392" s="41">
        <f t="shared" si="141"/>
        <v>688</v>
      </c>
      <c r="J392" s="93">
        <f t="shared" si="128"/>
        <v>100</v>
      </c>
    </row>
    <row r="393" spans="1:10" ht="66" x14ac:dyDescent="0.3">
      <c r="A393" s="3"/>
      <c r="B393" s="90"/>
      <c r="C393" s="16" t="s">
        <v>109</v>
      </c>
      <c r="D393" s="16" t="s">
        <v>92</v>
      </c>
      <c r="E393" s="79">
        <v>1320127100</v>
      </c>
      <c r="F393" s="16"/>
      <c r="G393" s="97" t="s">
        <v>3</v>
      </c>
      <c r="H393" s="41">
        <f t="shared" si="141"/>
        <v>688</v>
      </c>
      <c r="I393" s="41">
        <f t="shared" si="141"/>
        <v>688</v>
      </c>
      <c r="J393" s="93">
        <f t="shared" si="128"/>
        <v>100</v>
      </c>
    </row>
    <row r="394" spans="1:10" ht="79.8" x14ac:dyDescent="0.3">
      <c r="A394" s="3"/>
      <c r="B394" s="90"/>
      <c r="C394" s="16" t="s">
        <v>109</v>
      </c>
      <c r="D394" s="16" t="s">
        <v>92</v>
      </c>
      <c r="E394" s="79">
        <v>1320127100</v>
      </c>
      <c r="F394" s="16" t="s">
        <v>19</v>
      </c>
      <c r="G394" s="98" t="s">
        <v>356</v>
      </c>
      <c r="H394" s="41">
        <v>688</v>
      </c>
      <c r="I394" s="41">
        <v>688</v>
      </c>
      <c r="J394" s="93">
        <f t="shared" si="128"/>
        <v>100</v>
      </c>
    </row>
    <row r="395" spans="1:10" ht="26.4" x14ac:dyDescent="0.3">
      <c r="A395" s="3"/>
      <c r="B395" s="90"/>
      <c r="C395" s="5" t="s">
        <v>109</v>
      </c>
      <c r="D395" s="5" t="s">
        <v>92</v>
      </c>
      <c r="E395" s="83">
        <v>9900000000</v>
      </c>
      <c r="F395" s="5"/>
      <c r="G395" s="84" t="s">
        <v>139</v>
      </c>
      <c r="H395" s="62">
        <f>H396</f>
        <v>50</v>
      </c>
      <c r="I395" s="62">
        <f t="shared" ref="I395" si="142">I396</f>
        <v>50</v>
      </c>
      <c r="J395" s="62">
        <f t="shared" si="128"/>
        <v>100</v>
      </c>
    </row>
    <row r="396" spans="1:10" ht="15.6" x14ac:dyDescent="0.3">
      <c r="A396" s="3"/>
      <c r="B396" s="90"/>
      <c r="C396" s="16" t="s">
        <v>109</v>
      </c>
      <c r="D396" s="16" t="s">
        <v>92</v>
      </c>
      <c r="E396" s="79">
        <v>9920000000</v>
      </c>
      <c r="F396" s="35"/>
      <c r="G396" s="124" t="s">
        <v>5</v>
      </c>
      <c r="H396" s="93">
        <f t="shared" ref="H396:I397" si="143">H397</f>
        <v>50</v>
      </c>
      <c r="I396" s="93">
        <f t="shared" si="143"/>
        <v>50</v>
      </c>
      <c r="J396" s="58">
        <f t="shared" si="128"/>
        <v>100</v>
      </c>
    </row>
    <row r="397" spans="1:10" ht="27" x14ac:dyDescent="0.3">
      <c r="A397" s="3"/>
      <c r="B397" s="90"/>
      <c r="C397" s="16" t="s">
        <v>109</v>
      </c>
      <c r="D397" s="16" t="s">
        <v>92</v>
      </c>
      <c r="E397" s="79">
        <v>9920026100</v>
      </c>
      <c r="F397" s="21"/>
      <c r="G397" s="98" t="s">
        <v>11</v>
      </c>
      <c r="H397" s="39">
        <f t="shared" si="143"/>
        <v>50</v>
      </c>
      <c r="I397" s="39">
        <f t="shared" si="143"/>
        <v>50</v>
      </c>
      <c r="J397" s="93">
        <f t="shared" si="128"/>
        <v>100</v>
      </c>
    </row>
    <row r="398" spans="1:10" ht="15.6" x14ac:dyDescent="0.3">
      <c r="A398" s="3"/>
      <c r="B398" s="90"/>
      <c r="C398" s="16" t="s">
        <v>109</v>
      </c>
      <c r="D398" s="16" t="s">
        <v>92</v>
      </c>
      <c r="E398" s="79">
        <v>9920026100</v>
      </c>
      <c r="F398" s="82" t="s">
        <v>81</v>
      </c>
      <c r="G398" s="97" t="s">
        <v>82</v>
      </c>
      <c r="H398" s="39">
        <v>50</v>
      </c>
      <c r="I398" s="39">
        <v>50</v>
      </c>
      <c r="J398" s="39">
        <v>0</v>
      </c>
    </row>
    <row r="399" spans="1:10" ht="14.4" x14ac:dyDescent="0.3">
      <c r="A399" s="1"/>
      <c r="B399" s="25"/>
      <c r="C399" s="35" t="s">
        <v>109</v>
      </c>
      <c r="D399" s="35" t="s">
        <v>93</v>
      </c>
      <c r="E399" s="35"/>
      <c r="F399" s="38"/>
      <c r="G399" s="50" t="s">
        <v>13</v>
      </c>
      <c r="H399" s="40">
        <f t="shared" ref="H399:I400" si="144">H400</f>
        <v>39899.199999999997</v>
      </c>
      <c r="I399" s="40">
        <f t="shared" si="144"/>
        <v>39899.1</v>
      </c>
      <c r="J399" s="42">
        <f t="shared" si="128"/>
        <v>100</v>
      </c>
    </row>
    <row r="400" spans="1:10" ht="93" x14ac:dyDescent="0.3">
      <c r="A400" s="1"/>
      <c r="B400" s="25"/>
      <c r="C400" s="5" t="s">
        <v>109</v>
      </c>
      <c r="D400" s="5" t="s">
        <v>93</v>
      </c>
      <c r="E400" s="73" t="s">
        <v>36</v>
      </c>
      <c r="F400" s="3"/>
      <c r="G400" s="139" t="s">
        <v>572</v>
      </c>
      <c r="H400" s="95">
        <f t="shared" si="144"/>
        <v>39899.199999999997</v>
      </c>
      <c r="I400" s="95">
        <f t="shared" si="144"/>
        <v>39899.1</v>
      </c>
      <c r="J400" s="65">
        <f t="shared" si="128"/>
        <v>100</v>
      </c>
    </row>
    <row r="401" spans="1:10" ht="27" x14ac:dyDescent="0.3">
      <c r="A401" s="1"/>
      <c r="B401" s="25"/>
      <c r="C401" s="47" t="s">
        <v>109</v>
      </c>
      <c r="D401" s="47" t="s">
        <v>93</v>
      </c>
      <c r="E401" s="52" t="s">
        <v>37</v>
      </c>
      <c r="F401" s="35"/>
      <c r="G401" s="46" t="s">
        <v>83</v>
      </c>
      <c r="H401" s="92">
        <f>H402+H407+H412</f>
        <v>39899.199999999997</v>
      </c>
      <c r="I401" s="92">
        <f t="shared" ref="I401" si="145">I402+I407+I412</f>
        <v>39899.1</v>
      </c>
      <c r="J401" s="58">
        <f t="shared" si="128"/>
        <v>100</v>
      </c>
    </row>
    <row r="402" spans="1:10" ht="40.200000000000003" x14ac:dyDescent="0.3">
      <c r="A402" s="1"/>
      <c r="B402" s="25"/>
      <c r="C402" s="16" t="s">
        <v>109</v>
      </c>
      <c r="D402" s="16" t="s">
        <v>93</v>
      </c>
      <c r="E402" s="21" t="s">
        <v>269</v>
      </c>
      <c r="F402" s="3"/>
      <c r="G402" s="103" t="s">
        <v>270</v>
      </c>
      <c r="H402" s="41">
        <f>H403+H405</f>
        <v>3431.1000000000004</v>
      </c>
      <c r="I402" s="41">
        <f t="shared" ref="I402" si="146">I403+I405</f>
        <v>3431.1000000000004</v>
      </c>
      <c r="J402" s="93">
        <f t="shared" si="128"/>
        <v>100</v>
      </c>
    </row>
    <row r="403" spans="1:10" ht="40.200000000000003" x14ac:dyDescent="0.3">
      <c r="A403" s="1"/>
      <c r="B403" s="25"/>
      <c r="C403" s="16" t="s">
        <v>109</v>
      </c>
      <c r="D403" s="16" t="s">
        <v>93</v>
      </c>
      <c r="E403" s="21" t="s">
        <v>300</v>
      </c>
      <c r="F403" s="3"/>
      <c r="G403" s="126" t="s">
        <v>196</v>
      </c>
      <c r="H403" s="41">
        <f t="shared" ref="H403:I403" si="147">H404</f>
        <v>686.2</v>
      </c>
      <c r="I403" s="41">
        <f t="shared" si="147"/>
        <v>686.2</v>
      </c>
      <c r="J403" s="93">
        <f t="shared" si="128"/>
        <v>100</v>
      </c>
    </row>
    <row r="404" spans="1:10" x14ac:dyDescent="0.25">
      <c r="A404" s="1"/>
      <c r="B404" s="25"/>
      <c r="C404" s="16" t="s">
        <v>109</v>
      </c>
      <c r="D404" s="16" t="s">
        <v>93</v>
      </c>
      <c r="E404" s="21" t="s">
        <v>300</v>
      </c>
      <c r="F404" s="82" t="s">
        <v>244</v>
      </c>
      <c r="G404" s="101" t="s">
        <v>243</v>
      </c>
      <c r="H404" s="41">
        <v>686.2</v>
      </c>
      <c r="I404" s="41">
        <v>686.2</v>
      </c>
      <c r="J404" s="93">
        <f t="shared" si="128"/>
        <v>100</v>
      </c>
    </row>
    <row r="405" spans="1:10" ht="39.6" x14ac:dyDescent="0.25">
      <c r="A405" s="1"/>
      <c r="B405" s="25"/>
      <c r="C405" s="16" t="s">
        <v>109</v>
      </c>
      <c r="D405" s="16" t="s">
        <v>93</v>
      </c>
      <c r="E405" s="21" t="s">
        <v>649</v>
      </c>
      <c r="F405" s="82"/>
      <c r="G405" s="122" t="s">
        <v>650</v>
      </c>
      <c r="H405" s="41">
        <f>H406</f>
        <v>2744.9</v>
      </c>
      <c r="I405" s="41">
        <f t="shared" ref="I405" si="148">I406</f>
        <v>2744.9</v>
      </c>
      <c r="J405" s="93">
        <f t="shared" si="128"/>
        <v>100</v>
      </c>
    </row>
    <row r="406" spans="1:10" x14ac:dyDescent="0.25">
      <c r="A406" s="1"/>
      <c r="B406" s="25"/>
      <c r="C406" s="16" t="s">
        <v>109</v>
      </c>
      <c r="D406" s="16" t="s">
        <v>93</v>
      </c>
      <c r="E406" s="21" t="s">
        <v>649</v>
      </c>
      <c r="F406" s="82" t="s">
        <v>244</v>
      </c>
      <c r="G406" s="101" t="s">
        <v>243</v>
      </c>
      <c r="H406" s="41">
        <v>2744.9</v>
      </c>
      <c r="I406" s="41">
        <v>2744.9</v>
      </c>
      <c r="J406" s="93">
        <f t="shared" si="128"/>
        <v>100</v>
      </c>
    </row>
    <row r="407" spans="1:10" ht="93" x14ac:dyDescent="0.3">
      <c r="A407" s="1"/>
      <c r="B407" s="25"/>
      <c r="C407" s="16" t="s">
        <v>109</v>
      </c>
      <c r="D407" s="16" t="s">
        <v>93</v>
      </c>
      <c r="E407" s="21" t="s">
        <v>271</v>
      </c>
      <c r="F407" s="35"/>
      <c r="G407" s="96" t="s">
        <v>550</v>
      </c>
      <c r="H407" s="39">
        <f t="shared" ref="H407:I407" si="149">H408+H410</f>
        <v>22416.6</v>
      </c>
      <c r="I407" s="39">
        <f t="shared" si="149"/>
        <v>22416.5</v>
      </c>
      <c r="J407" s="93">
        <f t="shared" si="128"/>
        <v>100</v>
      </c>
    </row>
    <row r="408" spans="1:10" ht="52.8" x14ac:dyDescent="0.25">
      <c r="A408" s="1"/>
      <c r="B408" s="25"/>
      <c r="C408" s="16" t="s">
        <v>109</v>
      </c>
      <c r="D408" s="16" t="s">
        <v>93</v>
      </c>
      <c r="E408" s="79">
        <v>1310210820</v>
      </c>
      <c r="F408" s="16"/>
      <c r="G408" s="97" t="s">
        <v>163</v>
      </c>
      <c r="H408" s="39">
        <f>H409</f>
        <v>14410.7</v>
      </c>
      <c r="I408" s="39">
        <f>I409</f>
        <v>14410.6</v>
      </c>
      <c r="J408" s="93">
        <f t="shared" si="128"/>
        <v>100</v>
      </c>
    </row>
    <row r="409" spans="1:10" x14ac:dyDescent="0.25">
      <c r="A409" s="1"/>
      <c r="B409" s="25"/>
      <c r="C409" s="16" t="s">
        <v>109</v>
      </c>
      <c r="D409" s="16" t="s">
        <v>93</v>
      </c>
      <c r="E409" s="79">
        <v>1310210820</v>
      </c>
      <c r="F409" s="82" t="s">
        <v>244</v>
      </c>
      <c r="G409" s="101" t="s">
        <v>243</v>
      </c>
      <c r="H409" s="39">
        <f>4803.6+9607.1</f>
        <v>14410.7</v>
      </c>
      <c r="I409" s="39">
        <v>14410.6</v>
      </c>
      <c r="J409" s="93">
        <f t="shared" si="128"/>
        <v>100</v>
      </c>
    </row>
    <row r="410" spans="1:10" ht="39.6" x14ac:dyDescent="0.25">
      <c r="A410" s="1"/>
      <c r="B410" s="25"/>
      <c r="C410" s="16" t="s">
        <v>109</v>
      </c>
      <c r="D410" s="16" t="s">
        <v>93</v>
      </c>
      <c r="E410" s="79" t="s">
        <v>333</v>
      </c>
      <c r="F410" s="16"/>
      <c r="G410" s="97" t="s">
        <v>307</v>
      </c>
      <c r="H410" s="39">
        <f>H411</f>
        <v>8005.9</v>
      </c>
      <c r="I410" s="39">
        <f>I411</f>
        <v>8005.9</v>
      </c>
      <c r="J410" s="93">
        <f t="shared" si="128"/>
        <v>100</v>
      </c>
    </row>
    <row r="411" spans="1:10" x14ac:dyDescent="0.25">
      <c r="A411" s="1"/>
      <c r="B411" s="25"/>
      <c r="C411" s="16" t="s">
        <v>109</v>
      </c>
      <c r="D411" s="16" t="s">
        <v>93</v>
      </c>
      <c r="E411" s="79" t="s">
        <v>333</v>
      </c>
      <c r="F411" s="82" t="s">
        <v>244</v>
      </c>
      <c r="G411" s="101" t="s">
        <v>243</v>
      </c>
      <c r="H411" s="39">
        <f>17613-9607.1</f>
        <v>8005.9</v>
      </c>
      <c r="I411" s="39">
        <f>17613-9607.1</f>
        <v>8005.9</v>
      </c>
      <c r="J411" s="93">
        <f t="shared" si="128"/>
        <v>100</v>
      </c>
    </row>
    <row r="412" spans="1:10" ht="27" customHeight="1" x14ac:dyDescent="0.25">
      <c r="A412" s="1"/>
      <c r="B412" s="25"/>
      <c r="C412" s="16" t="s">
        <v>109</v>
      </c>
      <c r="D412" s="16" t="s">
        <v>93</v>
      </c>
      <c r="E412" s="21" t="s">
        <v>294</v>
      </c>
      <c r="F412" s="82"/>
      <c r="G412" s="103" t="s">
        <v>619</v>
      </c>
      <c r="H412" s="41">
        <f t="shared" ref="H412:I413" si="150">H413</f>
        <v>14051.5</v>
      </c>
      <c r="I412" s="41">
        <f t="shared" si="150"/>
        <v>14051.5</v>
      </c>
      <c r="J412" s="93">
        <f t="shared" si="128"/>
        <v>100</v>
      </c>
    </row>
    <row r="413" spans="1:10" ht="52.8" x14ac:dyDescent="0.25">
      <c r="A413" s="1"/>
      <c r="B413" s="25"/>
      <c r="C413" s="16" t="s">
        <v>109</v>
      </c>
      <c r="D413" s="16" t="s">
        <v>93</v>
      </c>
      <c r="E413" s="74" t="s">
        <v>327</v>
      </c>
      <c r="F413" s="16"/>
      <c r="G413" s="97" t="s">
        <v>314</v>
      </c>
      <c r="H413" s="93">
        <f t="shared" si="150"/>
        <v>14051.5</v>
      </c>
      <c r="I413" s="93">
        <f t="shared" si="150"/>
        <v>14051.5</v>
      </c>
      <c r="J413" s="93">
        <f t="shared" si="128"/>
        <v>100</v>
      </c>
    </row>
    <row r="414" spans="1:10" ht="39.6" x14ac:dyDescent="0.25">
      <c r="A414" s="1"/>
      <c r="B414" s="25"/>
      <c r="C414" s="16" t="s">
        <v>109</v>
      </c>
      <c r="D414" s="16" t="s">
        <v>93</v>
      </c>
      <c r="E414" s="74" t="s">
        <v>327</v>
      </c>
      <c r="F414" s="82" t="s">
        <v>256</v>
      </c>
      <c r="G414" s="97" t="s">
        <v>245</v>
      </c>
      <c r="H414" s="93">
        <f>2810.3+11241.2</f>
        <v>14051.5</v>
      </c>
      <c r="I414" s="93">
        <v>14051.5</v>
      </c>
      <c r="J414" s="93">
        <f t="shared" si="128"/>
        <v>100</v>
      </c>
    </row>
    <row r="415" spans="1:10" ht="16.5" customHeight="1" x14ac:dyDescent="0.3">
      <c r="A415" s="1"/>
      <c r="B415" s="25"/>
      <c r="C415" s="4" t="s">
        <v>121</v>
      </c>
      <c r="D415" s="3"/>
      <c r="E415" s="3"/>
      <c r="F415" s="3"/>
      <c r="G415" s="49" t="s">
        <v>8</v>
      </c>
      <c r="H415" s="91">
        <f t="shared" ref="H415:I415" si="151">H416</f>
        <v>3836.5</v>
      </c>
      <c r="I415" s="91">
        <f t="shared" si="151"/>
        <v>3836.5</v>
      </c>
      <c r="J415" s="186">
        <f t="shared" si="128"/>
        <v>100</v>
      </c>
    </row>
    <row r="416" spans="1:10" ht="28.8" x14ac:dyDescent="0.3">
      <c r="A416" s="1"/>
      <c r="B416" s="25"/>
      <c r="C416" s="35" t="s">
        <v>121</v>
      </c>
      <c r="D416" s="35" t="s">
        <v>93</v>
      </c>
      <c r="E416" s="35"/>
      <c r="F416" s="35"/>
      <c r="G416" s="50" t="s">
        <v>14</v>
      </c>
      <c r="H416" s="40">
        <f t="shared" ref="H416" si="152">H418</f>
        <v>3836.5</v>
      </c>
      <c r="I416" s="40">
        <f t="shared" ref="I416" si="153">I418</f>
        <v>3836.5</v>
      </c>
      <c r="J416" s="42">
        <f t="shared" si="128"/>
        <v>100</v>
      </c>
    </row>
    <row r="417" spans="1:10" ht="93" x14ac:dyDescent="0.3">
      <c r="A417" s="1"/>
      <c r="B417" s="25"/>
      <c r="C417" s="16" t="s">
        <v>121</v>
      </c>
      <c r="D417" s="16" t="s">
        <v>93</v>
      </c>
      <c r="E417" s="74">
        <v>400000000</v>
      </c>
      <c r="F417" s="30"/>
      <c r="G417" s="139" t="s">
        <v>563</v>
      </c>
      <c r="H417" s="95">
        <f t="shared" ref="H417:I417" si="154">H418</f>
        <v>3836.5</v>
      </c>
      <c r="I417" s="95">
        <f t="shared" si="154"/>
        <v>3836.5</v>
      </c>
      <c r="J417" s="62">
        <f t="shared" si="128"/>
        <v>100</v>
      </c>
    </row>
    <row r="418" spans="1:10" ht="53.4" x14ac:dyDescent="0.3">
      <c r="A418" s="1"/>
      <c r="B418" s="25"/>
      <c r="C418" s="47" t="s">
        <v>121</v>
      </c>
      <c r="D418" s="47" t="s">
        <v>93</v>
      </c>
      <c r="E418" s="75">
        <v>420000000</v>
      </c>
      <c r="F418" s="30"/>
      <c r="G418" s="46" t="s">
        <v>226</v>
      </c>
      <c r="H418" s="92">
        <f>H419+H426</f>
        <v>3836.5</v>
      </c>
      <c r="I418" s="92">
        <f>I419+I426</f>
        <v>3836.5</v>
      </c>
      <c r="J418" s="58">
        <f t="shared" si="128"/>
        <v>100</v>
      </c>
    </row>
    <row r="419" spans="1:10" ht="117" customHeight="1" x14ac:dyDescent="0.25">
      <c r="A419" s="1"/>
      <c r="B419" s="25"/>
      <c r="C419" s="16" t="s">
        <v>121</v>
      </c>
      <c r="D419" s="16" t="s">
        <v>93</v>
      </c>
      <c r="E419" s="74">
        <v>420100000</v>
      </c>
      <c r="F419" s="16"/>
      <c r="G419" s="96" t="s">
        <v>466</v>
      </c>
      <c r="H419" s="41">
        <f>H420+H422+H424</f>
        <v>2824.4</v>
      </c>
      <c r="I419" s="41">
        <f>I420+I422+I424</f>
        <v>2824.4</v>
      </c>
      <c r="J419" s="93">
        <f t="shared" si="128"/>
        <v>100</v>
      </c>
    </row>
    <row r="420" spans="1:10" ht="52.8" x14ac:dyDescent="0.25">
      <c r="A420" s="1"/>
      <c r="B420" s="25"/>
      <c r="C420" s="16" t="s">
        <v>121</v>
      </c>
      <c r="D420" s="16" t="s">
        <v>93</v>
      </c>
      <c r="E420" s="74" t="s">
        <v>467</v>
      </c>
      <c r="F420" s="16"/>
      <c r="G420" s="97" t="s">
        <v>350</v>
      </c>
      <c r="H420" s="41">
        <f>H421</f>
        <v>600</v>
      </c>
      <c r="I420" s="41">
        <f t="shared" ref="I420" si="155">I421</f>
        <v>600</v>
      </c>
      <c r="J420" s="93">
        <f t="shared" si="128"/>
        <v>100</v>
      </c>
    </row>
    <row r="421" spans="1:10" ht="79.2" x14ac:dyDescent="0.25">
      <c r="A421" s="1"/>
      <c r="B421" s="25"/>
      <c r="C421" s="16" t="s">
        <v>121</v>
      </c>
      <c r="D421" s="16" t="s">
        <v>93</v>
      </c>
      <c r="E421" s="74" t="s">
        <v>467</v>
      </c>
      <c r="F421" s="16" t="s">
        <v>19</v>
      </c>
      <c r="G421" s="98" t="s">
        <v>356</v>
      </c>
      <c r="H421" s="41">
        <v>600</v>
      </c>
      <c r="I421" s="41">
        <v>600</v>
      </c>
      <c r="J421" s="93">
        <f t="shared" si="128"/>
        <v>100</v>
      </c>
    </row>
    <row r="422" spans="1:10" ht="66" x14ac:dyDescent="0.25">
      <c r="A422" s="1"/>
      <c r="B422" s="25"/>
      <c r="C422" s="16" t="s">
        <v>121</v>
      </c>
      <c r="D422" s="16" t="s">
        <v>93</v>
      </c>
      <c r="E422" s="74">
        <v>420123230</v>
      </c>
      <c r="F422" s="16"/>
      <c r="G422" s="98" t="s">
        <v>696</v>
      </c>
      <c r="H422" s="41">
        <f>H423</f>
        <v>1300</v>
      </c>
      <c r="I422" s="41">
        <f t="shared" ref="I422" si="156">I423</f>
        <v>1300</v>
      </c>
      <c r="J422" s="93">
        <f t="shared" si="128"/>
        <v>100</v>
      </c>
    </row>
    <row r="423" spans="1:10" ht="39.6" x14ac:dyDescent="0.25">
      <c r="A423" s="1"/>
      <c r="B423" s="25"/>
      <c r="C423" s="16" t="s">
        <v>121</v>
      </c>
      <c r="D423" s="16" t="s">
        <v>93</v>
      </c>
      <c r="E423" s="74">
        <v>420123230</v>
      </c>
      <c r="F423" s="82" t="s">
        <v>205</v>
      </c>
      <c r="G423" s="97" t="s">
        <v>206</v>
      </c>
      <c r="H423" s="41">
        <f>1200+100</f>
        <v>1300</v>
      </c>
      <c r="I423" s="41">
        <v>1300</v>
      </c>
      <c r="J423" s="93">
        <f t="shared" si="128"/>
        <v>100</v>
      </c>
    </row>
    <row r="424" spans="1:10" ht="39.6" x14ac:dyDescent="0.25">
      <c r="A424" s="1"/>
      <c r="B424" s="25"/>
      <c r="C424" s="16" t="s">
        <v>121</v>
      </c>
      <c r="D424" s="16" t="s">
        <v>93</v>
      </c>
      <c r="E424" s="74">
        <v>420110320</v>
      </c>
      <c r="F424" s="1"/>
      <c r="G424" s="132" t="s">
        <v>468</v>
      </c>
      <c r="H424" s="41">
        <f>H425</f>
        <v>924.4</v>
      </c>
      <c r="I424" s="41">
        <f t="shared" ref="I424" si="157">I425</f>
        <v>924.4</v>
      </c>
      <c r="J424" s="93">
        <f t="shared" si="128"/>
        <v>100</v>
      </c>
    </row>
    <row r="425" spans="1:10" ht="79.2" x14ac:dyDescent="0.25">
      <c r="A425" s="1"/>
      <c r="B425" s="25"/>
      <c r="C425" s="16" t="s">
        <v>121</v>
      </c>
      <c r="D425" s="16" t="s">
        <v>93</v>
      </c>
      <c r="E425" s="74">
        <v>420110320</v>
      </c>
      <c r="F425" s="16" t="s">
        <v>19</v>
      </c>
      <c r="G425" s="98" t="s">
        <v>356</v>
      </c>
      <c r="H425" s="41">
        <f>895.5+28.9</f>
        <v>924.4</v>
      </c>
      <c r="I425" s="41">
        <v>924.4</v>
      </c>
      <c r="J425" s="93">
        <f t="shared" si="128"/>
        <v>100</v>
      </c>
    </row>
    <row r="426" spans="1:10" ht="132" x14ac:dyDescent="0.25">
      <c r="A426" s="1"/>
      <c r="B426" s="25"/>
      <c r="C426" s="16" t="s">
        <v>121</v>
      </c>
      <c r="D426" s="16" t="s">
        <v>93</v>
      </c>
      <c r="E426" s="74">
        <v>420200000</v>
      </c>
      <c r="F426" s="16"/>
      <c r="G426" s="96" t="s">
        <v>469</v>
      </c>
      <c r="H426" s="41">
        <f>H427+H429</f>
        <v>1012.0999999999999</v>
      </c>
      <c r="I426" s="41">
        <f t="shared" ref="I426" si="158">I427+I429</f>
        <v>1012.0999999999999</v>
      </c>
      <c r="J426" s="93">
        <f t="shared" si="128"/>
        <v>100</v>
      </c>
    </row>
    <row r="427" spans="1:10" ht="69.75" customHeight="1" x14ac:dyDescent="0.3">
      <c r="A427" s="1"/>
      <c r="B427" s="25"/>
      <c r="C427" s="16" t="s">
        <v>121</v>
      </c>
      <c r="D427" s="16" t="s">
        <v>93</v>
      </c>
      <c r="E427" s="74">
        <v>420223235</v>
      </c>
      <c r="F427" s="30"/>
      <c r="G427" s="97" t="s">
        <v>697</v>
      </c>
      <c r="H427" s="41">
        <f>H428</f>
        <v>575.29999999999995</v>
      </c>
      <c r="I427" s="41">
        <f>I428</f>
        <v>575.29999999999995</v>
      </c>
      <c r="J427" s="93">
        <f t="shared" si="128"/>
        <v>100</v>
      </c>
    </row>
    <row r="428" spans="1:10" ht="39.6" x14ac:dyDescent="0.25">
      <c r="A428" s="1"/>
      <c r="B428" s="25"/>
      <c r="C428" s="16" t="s">
        <v>121</v>
      </c>
      <c r="D428" s="16" t="s">
        <v>93</v>
      </c>
      <c r="E428" s="74">
        <v>420223235</v>
      </c>
      <c r="F428" s="82" t="s">
        <v>205</v>
      </c>
      <c r="G428" s="97" t="s">
        <v>206</v>
      </c>
      <c r="H428" s="41">
        <v>575.29999999999995</v>
      </c>
      <c r="I428" s="41">
        <v>575.29999999999995</v>
      </c>
      <c r="J428" s="93">
        <f t="shared" si="128"/>
        <v>100</v>
      </c>
    </row>
    <row r="429" spans="1:10" ht="66" x14ac:dyDescent="0.25">
      <c r="A429" s="1"/>
      <c r="B429" s="25"/>
      <c r="C429" s="16" t="s">
        <v>121</v>
      </c>
      <c r="D429" s="16" t="s">
        <v>93</v>
      </c>
      <c r="E429" s="74">
        <v>420223240</v>
      </c>
      <c r="F429" s="82"/>
      <c r="G429" s="97" t="s">
        <v>698</v>
      </c>
      <c r="H429" s="41">
        <f>H430</f>
        <v>436.8</v>
      </c>
      <c r="I429" s="41">
        <f t="shared" ref="I429" si="159">I430</f>
        <v>436.8</v>
      </c>
      <c r="J429" s="93">
        <f t="shared" si="128"/>
        <v>100</v>
      </c>
    </row>
    <row r="430" spans="1:10" ht="39.6" x14ac:dyDescent="0.25">
      <c r="A430" s="1"/>
      <c r="B430" s="25"/>
      <c r="C430" s="16" t="s">
        <v>121</v>
      </c>
      <c r="D430" s="16" t="s">
        <v>93</v>
      </c>
      <c r="E430" s="74">
        <v>420223240</v>
      </c>
      <c r="F430" s="82" t="s">
        <v>205</v>
      </c>
      <c r="G430" s="97" t="s">
        <v>206</v>
      </c>
      <c r="H430" s="41">
        <v>436.8</v>
      </c>
      <c r="I430" s="41">
        <v>436.8</v>
      </c>
      <c r="J430" s="93">
        <f t="shared" si="128"/>
        <v>100</v>
      </c>
    </row>
    <row r="431" spans="1:10" s="8" customFormat="1" ht="69.599999999999994" x14ac:dyDescent="0.3">
      <c r="A431" s="3">
        <v>4</v>
      </c>
      <c r="B431" s="90">
        <v>929</v>
      </c>
      <c r="C431" s="13"/>
      <c r="D431" s="13"/>
      <c r="E431" s="13"/>
      <c r="F431" s="13"/>
      <c r="G431" s="14" t="s">
        <v>201</v>
      </c>
      <c r="H431" s="59">
        <f>H432+H568</f>
        <v>646230.79999999993</v>
      </c>
      <c r="I431" s="59">
        <f>I432+I568</f>
        <v>640236.40000000014</v>
      </c>
      <c r="J431" s="186">
        <f t="shared" ref="J431:J494" si="160">ROUND((I431/H431*100),1)</f>
        <v>99.1</v>
      </c>
    </row>
    <row r="432" spans="1:10" ht="15.6" x14ac:dyDescent="0.3">
      <c r="A432" s="3"/>
      <c r="B432" s="90"/>
      <c r="C432" s="4" t="s">
        <v>103</v>
      </c>
      <c r="D432" s="3"/>
      <c r="E432" s="3"/>
      <c r="F432" s="3"/>
      <c r="G432" s="49" t="s">
        <v>104</v>
      </c>
      <c r="H432" s="59">
        <f>H433+H448+H492+H522+H528</f>
        <v>632010.69999999995</v>
      </c>
      <c r="I432" s="59">
        <f>I433+I448+I492+I522+I528</f>
        <v>631248.50000000012</v>
      </c>
      <c r="J432" s="186">
        <f t="shared" si="160"/>
        <v>99.9</v>
      </c>
    </row>
    <row r="433" spans="1:10" s="37" customFormat="1" ht="14.4" x14ac:dyDescent="0.3">
      <c r="A433" s="27"/>
      <c r="B433" s="70"/>
      <c r="C433" s="35" t="s">
        <v>103</v>
      </c>
      <c r="D433" s="35" t="s">
        <v>87</v>
      </c>
      <c r="E433" s="35"/>
      <c r="F433" s="35"/>
      <c r="G433" s="45" t="s">
        <v>106</v>
      </c>
      <c r="H433" s="58">
        <f>H434</f>
        <v>166549.4</v>
      </c>
      <c r="I433" s="58">
        <f t="shared" ref="I433" si="161">I434</f>
        <v>166504.50000000003</v>
      </c>
      <c r="J433" s="42">
        <f t="shared" si="160"/>
        <v>100</v>
      </c>
    </row>
    <row r="434" spans="1:10" s="37" customFormat="1" ht="79.8" x14ac:dyDescent="0.3">
      <c r="A434" s="27"/>
      <c r="B434" s="70"/>
      <c r="C434" s="16" t="s">
        <v>103</v>
      </c>
      <c r="D434" s="16" t="s">
        <v>87</v>
      </c>
      <c r="E434" s="21" t="s">
        <v>74</v>
      </c>
      <c r="F434" s="35"/>
      <c r="G434" s="64" t="s">
        <v>559</v>
      </c>
      <c r="H434" s="62">
        <f t="shared" ref="H434:I434" si="162">H435</f>
        <v>166549.4</v>
      </c>
      <c r="I434" s="62">
        <f t="shared" si="162"/>
        <v>166504.50000000003</v>
      </c>
      <c r="J434" s="62">
        <f t="shared" si="160"/>
        <v>100</v>
      </c>
    </row>
    <row r="435" spans="1:10" s="37" customFormat="1" ht="27" x14ac:dyDescent="0.3">
      <c r="A435" s="27"/>
      <c r="B435" s="70"/>
      <c r="C435" s="16" t="s">
        <v>103</v>
      </c>
      <c r="D435" s="16" t="s">
        <v>87</v>
      </c>
      <c r="E435" s="52" t="s">
        <v>75</v>
      </c>
      <c r="F435" s="35"/>
      <c r="G435" s="46" t="s">
        <v>384</v>
      </c>
      <c r="H435" s="93">
        <f>H436+H445</f>
        <v>166549.4</v>
      </c>
      <c r="I435" s="93">
        <f t="shared" ref="I435" si="163">I436+I445</f>
        <v>166504.50000000003</v>
      </c>
      <c r="J435" s="58">
        <f t="shared" si="160"/>
        <v>100</v>
      </c>
    </row>
    <row r="436" spans="1:10" s="37" customFormat="1" ht="53.4" x14ac:dyDescent="0.3">
      <c r="A436" s="27"/>
      <c r="B436" s="70"/>
      <c r="C436" s="56" t="s">
        <v>103</v>
      </c>
      <c r="D436" s="56" t="s">
        <v>87</v>
      </c>
      <c r="E436" s="21" t="s">
        <v>329</v>
      </c>
      <c r="F436" s="35"/>
      <c r="G436" s="96" t="s">
        <v>385</v>
      </c>
      <c r="H436" s="93">
        <f>H437+H439+H441+H443</f>
        <v>166046.69999999998</v>
      </c>
      <c r="I436" s="93">
        <f t="shared" ref="I436" si="164">I437+I439+I441+I443</f>
        <v>166001.80000000002</v>
      </c>
      <c r="J436" s="93">
        <f t="shared" si="160"/>
        <v>100</v>
      </c>
    </row>
    <row r="437" spans="1:10" s="37" customFormat="1" ht="54" customHeight="1" x14ac:dyDescent="0.3">
      <c r="A437" s="27"/>
      <c r="B437" s="70"/>
      <c r="C437" s="56" t="s">
        <v>103</v>
      </c>
      <c r="D437" s="56" t="s">
        <v>87</v>
      </c>
      <c r="E437" s="21" t="s">
        <v>375</v>
      </c>
      <c r="F437" s="21"/>
      <c r="G437" s="97" t="s">
        <v>374</v>
      </c>
      <c r="H437" s="93">
        <f>H438</f>
        <v>94481.2</v>
      </c>
      <c r="I437" s="93">
        <f t="shared" ref="I437" si="165">I438</f>
        <v>94481.2</v>
      </c>
      <c r="J437" s="93">
        <f t="shared" si="160"/>
        <v>100</v>
      </c>
    </row>
    <row r="438" spans="1:10" s="37" customFormat="1" ht="14.4" x14ac:dyDescent="0.3">
      <c r="A438" s="27"/>
      <c r="B438" s="70"/>
      <c r="C438" s="56" t="s">
        <v>103</v>
      </c>
      <c r="D438" s="56" t="s">
        <v>87</v>
      </c>
      <c r="E438" s="21" t="s">
        <v>375</v>
      </c>
      <c r="F438" s="21" t="s">
        <v>219</v>
      </c>
      <c r="G438" s="97" t="s">
        <v>218</v>
      </c>
      <c r="H438" s="1">
        <f>88408.6+2099.9+3857.9+114.8</f>
        <v>94481.2</v>
      </c>
      <c r="I438" s="1">
        <v>94481.2</v>
      </c>
      <c r="J438" s="93">
        <f t="shared" si="160"/>
        <v>100</v>
      </c>
    </row>
    <row r="439" spans="1:10" s="37" customFormat="1" ht="79.2" x14ac:dyDescent="0.3">
      <c r="A439" s="27"/>
      <c r="B439" s="70"/>
      <c r="C439" s="56" t="s">
        <v>103</v>
      </c>
      <c r="D439" s="56" t="s">
        <v>87</v>
      </c>
      <c r="E439" s="129" t="s">
        <v>377</v>
      </c>
      <c r="F439" s="21"/>
      <c r="G439" s="97" t="s">
        <v>376</v>
      </c>
      <c r="H439" s="93">
        <f>H440</f>
        <v>70711.999999999985</v>
      </c>
      <c r="I439" s="93">
        <f t="shared" ref="I439" si="166">I440</f>
        <v>70712</v>
      </c>
      <c r="J439" s="93">
        <f t="shared" si="160"/>
        <v>100</v>
      </c>
    </row>
    <row r="440" spans="1:10" s="37" customFormat="1" ht="14.4" x14ac:dyDescent="0.3">
      <c r="A440" s="27"/>
      <c r="B440" s="70"/>
      <c r="C440" s="56" t="s">
        <v>103</v>
      </c>
      <c r="D440" s="56" t="s">
        <v>87</v>
      </c>
      <c r="E440" s="129" t="s">
        <v>377</v>
      </c>
      <c r="F440" s="21" t="s">
        <v>219</v>
      </c>
      <c r="G440" s="97" t="s">
        <v>218</v>
      </c>
      <c r="H440" s="93">
        <f>68790.2+2396.9-466.6-8.5</f>
        <v>70711.999999999985</v>
      </c>
      <c r="I440" s="93">
        <v>70712</v>
      </c>
      <c r="J440" s="93">
        <f t="shared" si="160"/>
        <v>100</v>
      </c>
    </row>
    <row r="441" spans="1:10" s="37" customFormat="1" ht="66" x14ac:dyDescent="0.3">
      <c r="A441" s="27"/>
      <c r="B441" s="70"/>
      <c r="C441" s="56" t="s">
        <v>103</v>
      </c>
      <c r="D441" s="56" t="s">
        <v>87</v>
      </c>
      <c r="E441" s="159" t="s">
        <v>699</v>
      </c>
      <c r="F441" s="21"/>
      <c r="G441" s="97" t="s">
        <v>700</v>
      </c>
      <c r="H441" s="93">
        <f>H442</f>
        <v>845</v>
      </c>
      <c r="I441" s="93">
        <f t="shared" ref="I441" si="167">I442</f>
        <v>800.5</v>
      </c>
      <c r="J441" s="93">
        <f t="shared" si="160"/>
        <v>94.7</v>
      </c>
    </row>
    <row r="442" spans="1:10" s="37" customFormat="1" ht="14.4" x14ac:dyDescent="0.3">
      <c r="A442" s="27"/>
      <c r="B442" s="70"/>
      <c r="C442" s="56" t="s">
        <v>103</v>
      </c>
      <c r="D442" s="56" t="s">
        <v>87</v>
      </c>
      <c r="E442" s="160" t="s">
        <v>699</v>
      </c>
      <c r="F442" s="21" t="s">
        <v>219</v>
      </c>
      <c r="G442" s="97" t="s">
        <v>218</v>
      </c>
      <c r="H442" s="39">
        <v>845</v>
      </c>
      <c r="I442" s="39">
        <v>800.5</v>
      </c>
      <c r="J442" s="93">
        <f t="shared" si="160"/>
        <v>94.7</v>
      </c>
    </row>
    <row r="443" spans="1:10" s="37" customFormat="1" ht="79.8" x14ac:dyDescent="0.3">
      <c r="A443" s="27"/>
      <c r="B443" s="70"/>
      <c r="C443" s="56" t="s">
        <v>103</v>
      </c>
      <c r="D443" s="56" t="s">
        <v>87</v>
      </c>
      <c r="E443" s="159" t="s">
        <v>701</v>
      </c>
      <c r="F443" s="21"/>
      <c r="G443" s="107" t="s">
        <v>702</v>
      </c>
      <c r="H443" s="93">
        <f>H444</f>
        <v>8.5</v>
      </c>
      <c r="I443" s="93">
        <f t="shared" ref="I443" si="168">I444</f>
        <v>8.1</v>
      </c>
      <c r="J443" s="93">
        <f t="shared" si="160"/>
        <v>95.3</v>
      </c>
    </row>
    <row r="444" spans="1:10" s="37" customFormat="1" ht="14.4" x14ac:dyDescent="0.3">
      <c r="A444" s="27"/>
      <c r="B444" s="70"/>
      <c r="C444" s="56" t="s">
        <v>103</v>
      </c>
      <c r="D444" s="56" t="s">
        <v>87</v>
      </c>
      <c r="E444" s="159" t="s">
        <v>701</v>
      </c>
      <c r="F444" s="21" t="s">
        <v>219</v>
      </c>
      <c r="G444" s="97" t="s">
        <v>218</v>
      </c>
      <c r="H444" s="1">
        <v>8.5</v>
      </c>
      <c r="I444" s="93">
        <v>8.1</v>
      </c>
      <c r="J444" s="93">
        <f t="shared" si="160"/>
        <v>95.3</v>
      </c>
    </row>
    <row r="445" spans="1:10" s="37" customFormat="1" ht="40.200000000000003" x14ac:dyDescent="0.3">
      <c r="A445" s="27"/>
      <c r="B445" s="70"/>
      <c r="C445" s="56" t="s">
        <v>103</v>
      </c>
      <c r="D445" s="56" t="s">
        <v>87</v>
      </c>
      <c r="E445" s="21" t="s">
        <v>276</v>
      </c>
      <c r="F445" s="35"/>
      <c r="G445" s="96" t="s">
        <v>378</v>
      </c>
      <c r="H445" s="93">
        <f>H446</f>
        <v>502.70000000000005</v>
      </c>
      <c r="I445" s="93">
        <f>I446</f>
        <v>502.7</v>
      </c>
      <c r="J445" s="93">
        <f t="shared" si="160"/>
        <v>100</v>
      </c>
    </row>
    <row r="446" spans="1:10" s="37" customFormat="1" ht="53.4" x14ac:dyDescent="0.3">
      <c r="A446" s="27"/>
      <c r="B446" s="70"/>
      <c r="C446" s="56" t="s">
        <v>103</v>
      </c>
      <c r="D446" s="56" t="s">
        <v>87</v>
      </c>
      <c r="E446" s="21" t="s">
        <v>380</v>
      </c>
      <c r="F446" s="57"/>
      <c r="G446" s="96" t="s">
        <v>379</v>
      </c>
      <c r="H446" s="93">
        <f>H447</f>
        <v>502.70000000000005</v>
      </c>
      <c r="I446" s="93">
        <f t="shared" ref="I446" si="169">I447</f>
        <v>502.7</v>
      </c>
      <c r="J446" s="93">
        <f t="shared" si="160"/>
        <v>100</v>
      </c>
    </row>
    <row r="447" spans="1:10" s="37" customFormat="1" ht="14.4" x14ac:dyDescent="0.3">
      <c r="A447" s="27"/>
      <c r="B447" s="70"/>
      <c r="C447" s="56" t="s">
        <v>103</v>
      </c>
      <c r="D447" s="56" t="s">
        <v>87</v>
      </c>
      <c r="E447" s="21" t="s">
        <v>380</v>
      </c>
      <c r="F447" s="21" t="s">
        <v>219</v>
      </c>
      <c r="G447" s="97" t="s">
        <v>218</v>
      </c>
      <c r="H447" s="93">
        <f>227.1+275.6</f>
        <v>502.70000000000005</v>
      </c>
      <c r="I447" s="93">
        <v>502.7</v>
      </c>
      <c r="J447" s="93">
        <f t="shared" si="160"/>
        <v>100</v>
      </c>
    </row>
    <row r="448" spans="1:10" s="37" customFormat="1" ht="14.4" x14ac:dyDescent="0.3">
      <c r="A448" s="27"/>
      <c r="B448" s="70"/>
      <c r="C448" s="35" t="s">
        <v>103</v>
      </c>
      <c r="D448" s="35" t="s">
        <v>88</v>
      </c>
      <c r="E448" s="35"/>
      <c r="F448" s="35"/>
      <c r="G448" s="45" t="s">
        <v>107</v>
      </c>
      <c r="H448" s="42">
        <f>H449+H489</f>
        <v>401662.80000000005</v>
      </c>
      <c r="I448" s="42">
        <f>I449+I489</f>
        <v>401632.7</v>
      </c>
      <c r="J448" s="42">
        <f t="shared" si="160"/>
        <v>100</v>
      </c>
    </row>
    <row r="449" spans="1:10" s="37" customFormat="1" ht="79.8" x14ac:dyDescent="0.3">
      <c r="A449" s="27"/>
      <c r="B449" s="70"/>
      <c r="C449" s="16" t="s">
        <v>103</v>
      </c>
      <c r="D449" s="16" t="s">
        <v>88</v>
      </c>
      <c r="E449" s="21" t="s">
        <v>74</v>
      </c>
      <c r="F449" s="35"/>
      <c r="G449" s="64" t="s">
        <v>559</v>
      </c>
      <c r="H449" s="65">
        <f>H450</f>
        <v>401547.80000000005</v>
      </c>
      <c r="I449" s="65">
        <f t="shared" ref="I449" si="170">I450</f>
        <v>401517.7</v>
      </c>
      <c r="J449" s="62">
        <f t="shared" si="160"/>
        <v>100</v>
      </c>
    </row>
    <row r="450" spans="1:10" s="37" customFormat="1" ht="39.75" customHeight="1" x14ac:dyDescent="0.3">
      <c r="A450" s="27"/>
      <c r="B450" s="70"/>
      <c r="C450" s="47" t="s">
        <v>103</v>
      </c>
      <c r="D450" s="47" t="s">
        <v>88</v>
      </c>
      <c r="E450" s="52" t="s">
        <v>76</v>
      </c>
      <c r="F450" s="21"/>
      <c r="G450" s="46" t="s">
        <v>549</v>
      </c>
      <c r="H450" s="93">
        <f>H451+H462+H469+H476+H481+H486</f>
        <v>401547.80000000005</v>
      </c>
      <c r="I450" s="93">
        <f>I451+I462+I469+I476+I481+I486</f>
        <v>401517.7</v>
      </c>
      <c r="J450" s="58">
        <f t="shared" si="160"/>
        <v>100</v>
      </c>
    </row>
    <row r="451" spans="1:10" s="37" customFormat="1" ht="65.25" customHeight="1" x14ac:dyDescent="0.3">
      <c r="A451" s="27"/>
      <c r="B451" s="70"/>
      <c r="C451" s="56" t="s">
        <v>103</v>
      </c>
      <c r="D451" s="89" t="s">
        <v>88</v>
      </c>
      <c r="E451" s="21" t="s">
        <v>281</v>
      </c>
      <c r="F451" s="35"/>
      <c r="G451" s="96" t="s">
        <v>386</v>
      </c>
      <c r="H451" s="93">
        <f>H452+H454+H456+H458+H460</f>
        <v>353478.60000000003</v>
      </c>
      <c r="I451" s="93">
        <f t="shared" ref="I451" si="171">I452+I454+I456+I458+I460</f>
        <v>353463.60000000003</v>
      </c>
      <c r="J451" s="93">
        <f t="shared" si="160"/>
        <v>100</v>
      </c>
    </row>
    <row r="452" spans="1:10" s="37" customFormat="1" ht="79.2" x14ac:dyDescent="0.3">
      <c r="A452" s="27"/>
      <c r="B452" s="70"/>
      <c r="C452" s="56" t="s">
        <v>103</v>
      </c>
      <c r="D452" s="89" t="s">
        <v>88</v>
      </c>
      <c r="E452" s="82" t="s">
        <v>388</v>
      </c>
      <c r="F452" s="82"/>
      <c r="G452" s="97" t="s">
        <v>387</v>
      </c>
      <c r="H452" s="93">
        <f>H453</f>
        <v>250370.4</v>
      </c>
      <c r="I452" s="93">
        <f>I453</f>
        <v>250370.4</v>
      </c>
      <c r="J452" s="93">
        <f t="shared" si="160"/>
        <v>100</v>
      </c>
    </row>
    <row r="453" spans="1:10" s="37" customFormat="1" ht="14.4" x14ac:dyDescent="0.3">
      <c r="A453" s="27"/>
      <c r="B453" s="70"/>
      <c r="C453" s="56" t="s">
        <v>103</v>
      </c>
      <c r="D453" s="89" t="s">
        <v>88</v>
      </c>
      <c r="E453" s="57" t="s">
        <v>388</v>
      </c>
      <c r="F453" s="21" t="s">
        <v>219</v>
      </c>
      <c r="G453" s="97" t="s">
        <v>218</v>
      </c>
      <c r="H453" s="39">
        <f>222855.8+14016+13196.5+302.1</f>
        <v>250370.4</v>
      </c>
      <c r="I453" s="39">
        <v>250370.4</v>
      </c>
      <c r="J453" s="93">
        <f t="shared" si="160"/>
        <v>100</v>
      </c>
    </row>
    <row r="454" spans="1:10" s="37" customFormat="1" ht="66" x14ac:dyDescent="0.3">
      <c r="A454" s="27"/>
      <c r="B454" s="70"/>
      <c r="C454" s="16" t="s">
        <v>103</v>
      </c>
      <c r="D454" s="16" t="s">
        <v>88</v>
      </c>
      <c r="E454" s="57" t="s">
        <v>389</v>
      </c>
      <c r="F454" s="21"/>
      <c r="G454" s="97" t="s">
        <v>280</v>
      </c>
      <c r="H454" s="93">
        <f>H455</f>
        <v>86546.3</v>
      </c>
      <c r="I454" s="93">
        <f>I455</f>
        <v>86546.3</v>
      </c>
      <c r="J454" s="93">
        <f t="shared" si="160"/>
        <v>100</v>
      </c>
    </row>
    <row r="455" spans="1:10" s="37" customFormat="1" ht="14.4" x14ac:dyDescent="0.3">
      <c r="A455" s="27"/>
      <c r="B455" s="70"/>
      <c r="C455" s="56" t="s">
        <v>103</v>
      </c>
      <c r="D455" s="89" t="s">
        <v>88</v>
      </c>
      <c r="E455" s="57" t="s">
        <v>389</v>
      </c>
      <c r="F455" s="21" t="s">
        <v>219</v>
      </c>
      <c r="G455" s="97" t="s">
        <v>218</v>
      </c>
      <c r="H455" s="93">
        <f>82839.4+3484.6-6.5+228.8</f>
        <v>86546.3</v>
      </c>
      <c r="I455" s="93">
        <v>86546.3</v>
      </c>
      <c r="J455" s="93">
        <f t="shared" si="160"/>
        <v>100</v>
      </c>
    </row>
    <row r="456" spans="1:10" s="37" customFormat="1" ht="66" x14ac:dyDescent="0.3">
      <c r="A456" s="27"/>
      <c r="B456" s="70"/>
      <c r="C456" s="56" t="s">
        <v>103</v>
      </c>
      <c r="D456" s="89" t="s">
        <v>88</v>
      </c>
      <c r="E456" s="57" t="s">
        <v>391</v>
      </c>
      <c r="F456" s="21"/>
      <c r="G456" s="97" t="s">
        <v>390</v>
      </c>
      <c r="H456" s="93">
        <f>H457</f>
        <v>15910.5</v>
      </c>
      <c r="I456" s="93">
        <f>I457</f>
        <v>15910.5</v>
      </c>
      <c r="J456" s="93">
        <f t="shared" si="160"/>
        <v>100</v>
      </c>
    </row>
    <row r="457" spans="1:10" s="37" customFormat="1" ht="14.4" x14ac:dyDescent="0.3">
      <c r="A457" s="27"/>
      <c r="B457" s="70"/>
      <c r="C457" s="16" t="s">
        <v>103</v>
      </c>
      <c r="D457" s="16" t="s">
        <v>88</v>
      </c>
      <c r="E457" s="21" t="s">
        <v>391</v>
      </c>
      <c r="F457" s="21" t="s">
        <v>219</v>
      </c>
      <c r="G457" s="97" t="s">
        <v>218</v>
      </c>
      <c r="H457" s="1">
        <f>15882.5+28</f>
        <v>15910.5</v>
      </c>
      <c r="I457" s="1">
        <v>15910.5</v>
      </c>
      <c r="J457" s="93">
        <f t="shared" si="160"/>
        <v>100</v>
      </c>
    </row>
    <row r="458" spans="1:10" s="37" customFormat="1" ht="53.4" x14ac:dyDescent="0.3">
      <c r="A458" s="27"/>
      <c r="B458" s="70"/>
      <c r="C458" s="56" t="s">
        <v>103</v>
      </c>
      <c r="D458" s="89" t="s">
        <v>88</v>
      </c>
      <c r="E458" s="159" t="s">
        <v>703</v>
      </c>
      <c r="F458" s="21"/>
      <c r="G458" s="107" t="s">
        <v>704</v>
      </c>
      <c r="H458" s="39">
        <f>H459</f>
        <v>644.9</v>
      </c>
      <c r="I458" s="39">
        <f t="shared" ref="I458" si="172">I459</f>
        <v>630</v>
      </c>
      <c r="J458" s="93">
        <f t="shared" si="160"/>
        <v>97.7</v>
      </c>
    </row>
    <row r="459" spans="1:10" s="37" customFormat="1" ht="14.4" x14ac:dyDescent="0.3">
      <c r="A459" s="27"/>
      <c r="B459" s="70"/>
      <c r="C459" s="16" t="s">
        <v>103</v>
      </c>
      <c r="D459" s="16" t="s">
        <v>88</v>
      </c>
      <c r="E459" s="159" t="s">
        <v>703</v>
      </c>
      <c r="F459" s="21" t="s">
        <v>219</v>
      </c>
      <c r="G459" s="97" t="s">
        <v>218</v>
      </c>
      <c r="H459" s="1">
        <v>644.9</v>
      </c>
      <c r="I459" s="39">
        <v>630</v>
      </c>
      <c r="J459" s="93">
        <f t="shared" si="160"/>
        <v>97.7</v>
      </c>
    </row>
    <row r="460" spans="1:10" s="37" customFormat="1" ht="66.599999999999994" x14ac:dyDescent="0.3">
      <c r="A460" s="27"/>
      <c r="B460" s="70"/>
      <c r="C460" s="56" t="s">
        <v>103</v>
      </c>
      <c r="D460" s="89" t="s">
        <v>88</v>
      </c>
      <c r="E460" s="159" t="s">
        <v>705</v>
      </c>
      <c r="F460" s="21"/>
      <c r="G460" s="107" t="s">
        <v>706</v>
      </c>
      <c r="H460" s="1">
        <f>H461</f>
        <v>6.5</v>
      </c>
      <c r="I460" s="1">
        <f t="shared" ref="I460" si="173">I461</f>
        <v>6.4</v>
      </c>
      <c r="J460" s="93">
        <f t="shared" si="160"/>
        <v>98.5</v>
      </c>
    </row>
    <row r="461" spans="1:10" s="37" customFormat="1" ht="14.4" x14ac:dyDescent="0.3">
      <c r="A461" s="27"/>
      <c r="B461" s="70"/>
      <c r="C461" s="56" t="s">
        <v>103</v>
      </c>
      <c r="D461" s="89" t="s">
        <v>88</v>
      </c>
      <c r="E461" s="159" t="s">
        <v>705</v>
      </c>
      <c r="F461" s="21" t="s">
        <v>219</v>
      </c>
      <c r="G461" s="97" t="s">
        <v>218</v>
      </c>
      <c r="H461" s="1">
        <v>6.5</v>
      </c>
      <c r="I461" s="39">
        <v>6.4</v>
      </c>
      <c r="J461" s="93">
        <f t="shared" si="160"/>
        <v>98.5</v>
      </c>
    </row>
    <row r="462" spans="1:10" s="37" customFormat="1" ht="40.200000000000003" x14ac:dyDescent="0.3">
      <c r="A462" s="27"/>
      <c r="B462" s="70"/>
      <c r="C462" s="16" t="s">
        <v>103</v>
      </c>
      <c r="D462" s="16" t="s">
        <v>88</v>
      </c>
      <c r="E462" s="21" t="s">
        <v>393</v>
      </c>
      <c r="F462" s="82"/>
      <c r="G462" s="96" t="s">
        <v>392</v>
      </c>
      <c r="H462" s="93">
        <f>H463+H465+H467</f>
        <v>793.6</v>
      </c>
      <c r="I462" s="93">
        <f>I463+I465+I467</f>
        <v>793.6</v>
      </c>
      <c r="J462" s="93">
        <f t="shared" si="160"/>
        <v>100</v>
      </c>
    </row>
    <row r="463" spans="1:10" s="37" customFormat="1" ht="52.8" x14ac:dyDescent="0.3">
      <c r="A463" s="27"/>
      <c r="B463" s="70"/>
      <c r="C463" s="16" t="s">
        <v>103</v>
      </c>
      <c r="D463" s="16" t="s">
        <v>88</v>
      </c>
      <c r="E463" s="57" t="s">
        <v>394</v>
      </c>
      <c r="F463" s="21"/>
      <c r="G463" s="97" t="s">
        <v>395</v>
      </c>
      <c r="H463" s="93">
        <f>H464</f>
        <v>193.6</v>
      </c>
      <c r="I463" s="93">
        <f>I464</f>
        <v>193.6</v>
      </c>
      <c r="J463" s="93">
        <f t="shared" si="160"/>
        <v>100</v>
      </c>
    </row>
    <row r="464" spans="1:10" s="37" customFormat="1" ht="14.4" x14ac:dyDescent="0.3">
      <c r="A464" s="27"/>
      <c r="B464" s="70"/>
      <c r="C464" s="16" t="s">
        <v>103</v>
      </c>
      <c r="D464" s="16" t="s">
        <v>88</v>
      </c>
      <c r="E464" s="57" t="s">
        <v>394</v>
      </c>
      <c r="F464" s="21" t="s">
        <v>219</v>
      </c>
      <c r="G464" s="97" t="s">
        <v>218</v>
      </c>
      <c r="H464" s="93">
        <f>273-27.3-52.1</f>
        <v>193.6</v>
      </c>
      <c r="I464" s="93">
        <v>193.6</v>
      </c>
      <c r="J464" s="93">
        <f t="shared" si="160"/>
        <v>100</v>
      </c>
    </row>
    <row r="465" spans="1:10" s="37" customFormat="1" ht="52.8" x14ac:dyDescent="0.3">
      <c r="A465" s="27"/>
      <c r="B465" s="70"/>
      <c r="C465" s="16" t="s">
        <v>103</v>
      </c>
      <c r="D465" s="16" t="s">
        <v>88</v>
      </c>
      <c r="E465" s="57" t="s">
        <v>604</v>
      </c>
      <c r="F465" s="21"/>
      <c r="G465" s="97" t="s">
        <v>605</v>
      </c>
      <c r="H465" s="93">
        <f>H466</f>
        <v>500</v>
      </c>
      <c r="I465" s="93">
        <f t="shared" ref="I465" si="174">I466</f>
        <v>500</v>
      </c>
      <c r="J465" s="93">
        <f t="shared" si="160"/>
        <v>100</v>
      </c>
    </row>
    <row r="466" spans="1:10" s="37" customFormat="1" ht="14.4" x14ac:dyDescent="0.3">
      <c r="A466" s="27"/>
      <c r="B466" s="70"/>
      <c r="C466" s="16" t="s">
        <v>103</v>
      </c>
      <c r="D466" s="16" t="s">
        <v>88</v>
      </c>
      <c r="E466" s="57" t="s">
        <v>604</v>
      </c>
      <c r="F466" s="21" t="s">
        <v>219</v>
      </c>
      <c r="G466" s="97" t="s">
        <v>218</v>
      </c>
      <c r="H466" s="93">
        <v>500</v>
      </c>
      <c r="I466" s="93">
        <v>500</v>
      </c>
      <c r="J466" s="93">
        <f t="shared" si="160"/>
        <v>100</v>
      </c>
    </row>
    <row r="467" spans="1:10" s="37" customFormat="1" ht="40.200000000000003" x14ac:dyDescent="0.3">
      <c r="A467" s="27"/>
      <c r="B467" s="70"/>
      <c r="C467" s="16" t="s">
        <v>103</v>
      </c>
      <c r="D467" s="16" t="s">
        <v>88</v>
      </c>
      <c r="E467" s="156" t="s">
        <v>677</v>
      </c>
      <c r="F467" s="21"/>
      <c r="G467" s="122" t="s">
        <v>678</v>
      </c>
      <c r="H467" s="93">
        <f>H468</f>
        <v>100</v>
      </c>
      <c r="I467" s="93">
        <f t="shared" ref="I467" si="175">I468</f>
        <v>100</v>
      </c>
      <c r="J467" s="93">
        <f t="shared" si="160"/>
        <v>100</v>
      </c>
    </row>
    <row r="468" spans="1:10" s="37" customFormat="1" ht="14.4" x14ac:dyDescent="0.3">
      <c r="A468" s="27"/>
      <c r="B468" s="70"/>
      <c r="C468" s="16" t="s">
        <v>103</v>
      </c>
      <c r="D468" s="16" t="s">
        <v>88</v>
      </c>
      <c r="E468" s="156" t="s">
        <v>677</v>
      </c>
      <c r="F468" s="21" t="s">
        <v>219</v>
      </c>
      <c r="G468" s="97" t="s">
        <v>218</v>
      </c>
      <c r="H468" s="93">
        <v>100</v>
      </c>
      <c r="I468" s="93">
        <v>100</v>
      </c>
      <c r="J468" s="93">
        <f t="shared" si="160"/>
        <v>100</v>
      </c>
    </row>
    <row r="469" spans="1:10" s="37" customFormat="1" ht="66.599999999999994" x14ac:dyDescent="0.3">
      <c r="A469" s="27"/>
      <c r="B469" s="70"/>
      <c r="C469" s="16" t="s">
        <v>103</v>
      </c>
      <c r="D469" s="16" t="s">
        <v>88</v>
      </c>
      <c r="E469" s="21" t="s">
        <v>396</v>
      </c>
      <c r="F469" s="21"/>
      <c r="G469" s="96" t="s">
        <v>398</v>
      </c>
      <c r="H469" s="93">
        <f>H470+H472+H474</f>
        <v>22971.5</v>
      </c>
      <c r="I469" s="93">
        <f t="shared" ref="I469" si="176">I470+I472+I474</f>
        <v>22971.5</v>
      </c>
      <c r="J469" s="93">
        <f t="shared" si="160"/>
        <v>100</v>
      </c>
    </row>
    <row r="470" spans="1:10" s="37" customFormat="1" ht="39.6" x14ac:dyDescent="0.3">
      <c r="A470" s="27"/>
      <c r="B470" s="70"/>
      <c r="C470" s="16" t="s">
        <v>103</v>
      </c>
      <c r="D470" s="16" t="s">
        <v>88</v>
      </c>
      <c r="E470" s="57" t="s">
        <v>397</v>
      </c>
      <c r="F470" s="21"/>
      <c r="G470" s="97" t="s">
        <v>302</v>
      </c>
      <c r="H470" s="93">
        <f>H471</f>
        <v>5249.9</v>
      </c>
      <c r="I470" s="93">
        <f>I471</f>
        <v>5249.9</v>
      </c>
      <c r="J470" s="93">
        <f t="shared" si="160"/>
        <v>100</v>
      </c>
    </row>
    <row r="471" spans="1:10" s="37" customFormat="1" ht="14.4" x14ac:dyDescent="0.3">
      <c r="A471" s="27"/>
      <c r="B471" s="70"/>
      <c r="C471" s="16" t="s">
        <v>103</v>
      </c>
      <c r="D471" s="16" t="s">
        <v>88</v>
      </c>
      <c r="E471" s="57" t="s">
        <v>397</v>
      </c>
      <c r="F471" s="21" t="s">
        <v>219</v>
      </c>
      <c r="G471" s="97" t="s">
        <v>218</v>
      </c>
      <c r="H471" s="39">
        <v>5249.9</v>
      </c>
      <c r="I471" s="39">
        <v>5249.9</v>
      </c>
      <c r="J471" s="93">
        <f t="shared" si="160"/>
        <v>100</v>
      </c>
    </row>
    <row r="472" spans="1:10" s="37" customFormat="1" ht="79.2" x14ac:dyDescent="0.3">
      <c r="A472" s="27"/>
      <c r="B472" s="70"/>
      <c r="C472" s="16" t="s">
        <v>103</v>
      </c>
      <c r="D472" s="16" t="s">
        <v>88</v>
      </c>
      <c r="E472" s="21" t="s">
        <v>399</v>
      </c>
      <c r="F472" s="21"/>
      <c r="G472" s="97" t="s">
        <v>133</v>
      </c>
      <c r="H472" s="93">
        <f>H473</f>
        <v>17550.099999999999</v>
      </c>
      <c r="I472" s="93">
        <f>I473</f>
        <v>17550.099999999999</v>
      </c>
      <c r="J472" s="93">
        <f t="shared" si="160"/>
        <v>100</v>
      </c>
    </row>
    <row r="473" spans="1:10" s="37" customFormat="1" ht="14.4" x14ac:dyDescent="0.3">
      <c r="A473" s="27"/>
      <c r="B473" s="70"/>
      <c r="C473" s="82" t="s">
        <v>103</v>
      </c>
      <c r="D473" s="16" t="s">
        <v>88</v>
      </c>
      <c r="E473" s="21" t="s">
        <v>399</v>
      </c>
      <c r="F473" s="21" t="s">
        <v>219</v>
      </c>
      <c r="G473" s="97" t="s">
        <v>218</v>
      </c>
      <c r="H473" s="93">
        <v>17550.099999999999</v>
      </c>
      <c r="I473" s="93">
        <v>17550.099999999999</v>
      </c>
      <c r="J473" s="93">
        <f t="shared" si="160"/>
        <v>100</v>
      </c>
    </row>
    <row r="474" spans="1:10" s="37" customFormat="1" ht="79.2" x14ac:dyDescent="0.3">
      <c r="A474" s="27"/>
      <c r="B474" s="70"/>
      <c r="C474" s="16" t="s">
        <v>103</v>
      </c>
      <c r="D474" s="16" t="s">
        <v>88</v>
      </c>
      <c r="E474" s="21" t="s">
        <v>400</v>
      </c>
      <c r="F474" s="21"/>
      <c r="G474" s="97" t="s">
        <v>557</v>
      </c>
      <c r="H474" s="93">
        <f>H475</f>
        <v>171.5</v>
      </c>
      <c r="I474" s="93">
        <f>I475</f>
        <v>171.5</v>
      </c>
      <c r="J474" s="93">
        <f t="shared" si="160"/>
        <v>100</v>
      </c>
    </row>
    <row r="475" spans="1:10" s="37" customFormat="1" ht="14.4" x14ac:dyDescent="0.3">
      <c r="A475" s="27"/>
      <c r="B475" s="70"/>
      <c r="C475" s="16" t="s">
        <v>103</v>
      </c>
      <c r="D475" s="16" t="s">
        <v>88</v>
      </c>
      <c r="E475" s="21" t="s">
        <v>400</v>
      </c>
      <c r="F475" s="21" t="s">
        <v>219</v>
      </c>
      <c r="G475" s="97" t="s">
        <v>218</v>
      </c>
      <c r="H475" s="41">
        <f>175-3.5</f>
        <v>171.5</v>
      </c>
      <c r="I475" s="41">
        <v>171.5</v>
      </c>
      <c r="J475" s="93">
        <f t="shared" si="160"/>
        <v>100</v>
      </c>
    </row>
    <row r="476" spans="1:10" s="37" customFormat="1" ht="53.4" x14ac:dyDescent="0.3">
      <c r="A476" s="27"/>
      <c r="B476" s="70"/>
      <c r="C476" s="82" t="s">
        <v>103</v>
      </c>
      <c r="D476" s="82" t="s">
        <v>88</v>
      </c>
      <c r="E476" s="21" t="s">
        <v>401</v>
      </c>
      <c r="F476" s="21"/>
      <c r="G476" s="96" t="s">
        <v>402</v>
      </c>
      <c r="H476" s="41">
        <f>H477+H479</f>
        <v>22979.4</v>
      </c>
      <c r="I476" s="41">
        <f t="shared" ref="I476" si="177">I477+I479</f>
        <v>22964.3</v>
      </c>
      <c r="J476" s="93">
        <f t="shared" si="160"/>
        <v>99.9</v>
      </c>
    </row>
    <row r="477" spans="1:10" s="37" customFormat="1" ht="66" x14ac:dyDescent="0.3">
      <c r="A477" s="27"/>
      <c r="B477" s="70"/>
      <c r="C477" s="16" t="s">
        <v>103</v>
      </c>
      <c r="D477" s="16" t="s">
        <v>88</v>
      </c>
      <c r="E477" s="21" t="s">
        <v>667</v>
      </c>
      <c r="F477" s="82"/>
      <c r="G477" s="55" t="s">
        <v>367</v>
      </c>
      <c r="H477" s="41">
        <f>H478</f>
        <v>18640</v>
      </c>
      <c r="I477" s="41">
        <f t="shared" ref="I477" si="178">I478</f>
        <v>18640</v>
      </c>
      <c r="J477" s="93">
        <f t="shared" si="160"/>
        <v>100</v>
      </c>
    </row>
    <row r="478" spans="1:10" s="37" customFormat="1" ht="14.4" x14ac:dyDescent="0.3">
      <c r="A478" s="27"/>
      <c r="B478" s="70"/>
      <c r="C478" s="16" t="s">
        <v>103</v>
      </c>
      <c r="D478" s="16" t="s">
        <v>88</v>
      </c>
      <c r="E478" s="21" t="s">
        <v>667</v>
      </c>
      <c r="F478" s="21" t="s">
        <v>219</v>
      </c>
      <c r="G478" s="97" t="s">
        <v>218</v>
      </c>
      <c r="H478" s="39">
        <v>18640</v>
      </c>
      <c r="I478" s="39">
        <v>18640</v>
      </c>
      <c r="J478" s="93">
        <f t="shared" si="160"/>
        <v>100</v>
      </c>
    </row>
    <row r="479" spans="1:10" s="37" customFormat="1" ht="66" x14ac:dyDescent="0.3">
      <c r="A479" s="27"/>
      <c r="B479" s="70"/>
      <c r="C479" s="16" t="s">
        <v>103</v>
      </c>
      <c r="D479" s="16" t="s">
        <v>88</v>
      </c>
      <c r="E479" s="57" t="s">
        <v>540</v>
      </c>
      <c r="F479" s="16"/>
      <c r="G479" s="97" t="s">
        <v>541</v>
      </c>
      <c r="H479" s="41">
        <f>H480</f>
        <v>4339.3999999999996</v>
      </c>
      <c r="I479" s="41">
        <f t="shared" ref="I479" si="179">I480</f>
        <v>4324.3</v>
      </c>
      <c r="J479" s="93">
        <f t="shared" si="160"/>
        <v>99.7</v>
      </c>
    </row>
    <row r="480" spans="1:10" s="37" customFormat="1" ht="14.4" x14ac:dyDescent="0.3">
      <c r="A480" s="27"/>
      <c r="B480" s="70"/>
      <c r="C480" s="16" t="s">
        <v>103</v>
      </c>
      <c r="D480" s="16" t="s">
        <v>88</v>
      </c>
      <c r="E480" s="57" t="s">
        <v>540</v>
      </c>
      <c r="F480" s="21" t="s">
        <v>219</v>
      </c>
      <c r="G480" s="97" t="s">
        <v>218</v>
      </c>
      <c r="H480" s="41">
        <f>3968.1+466.6-95.3</f>
        <v>4339.3999999999996</v>
      </c>
      <c r="I480" s="41">
        <v>4324.3</v>
      </c>
      <c r="J480" s="93">
        <f t="shared" si="160"/>
        <v>99.7</v>
      </c>
    </row>
    <row r="481" spans="1:10" s="37" customFormat="1" ht="39.6" x14ac:dyDescent="0.3">
      <c r="A481" s="27"/>
      <c r="B481" s="70"/>
      <c r="C481" s="16" t="s">
        <v>103</v>
      </c>
      <c r="D481" s="16" t="s">
        <v>88</v>
      </c>
      <c r="E481" s="57" t="s">
        <v>606</v>
      </c>
      <c r="F481" s="21"/>
      <c r="G481" s="147" t="s">
        <v>607</v>
      </c>
      <c r="H481" s="41">
        <f>H482+H484</f>
        <v>639.29999999999995</v>
      </c>
      <c r="I481" s="41">
        <f t="shared" ref="I481" si="180">I482+I484</f>
        <v>639.29999999999995</v>
      </c>
      <c r="J481" s="93">
        <f t="shared" si="160"/>
        <v>100</v>
      </c>
    </row>
    <row r="482" spans="1:10" s="37" customFormat="1" ht="79.8" x14ac:dyDescent="0.3">
      <c r="A482" s="27"/>
      <c r="B482" s="70"/>
      <c r="C482" s="16" t="s">
        <v>103</v>
      </c>
      <c r="D482" s="16" t="s">
        <v>88</v>
      </c>
      <c r="E482" s="57" t="s">
        <v>666</v>
      </c>
      <c r="F482" s="21"/>
      <c r="G482" s="96" t="s">
        <v>665</v>
      </c>
      <c r="H482" s="41">
        <f>H483</f>
        <v>250</v>
      </c>
      <c r="I482" s="41">
        <f t="shared" ref="I482" si="181">I483</f>
        <v>250</v>
      </c>
      <c r="J482" s="93">
        <f t="shared" si="160"/>
        <v>100</v>
      </c>
    </row>
    <row r="483" spans="1:10" s="37" customFormat="1" ht="14.4" x14ac:dyDescent="0.3">
      <c r="A483" s="27"/>
      <c r="B483" s="70"/>
      <c r="C483" s="16" t="s">
        <v>103</v>
      </c>
      <c r="D483" s="16" t="s">
        <v>88</v>
      </c>
      <c r="E483" s="57" t="s">
        <v>666</v>
      </c>
      <c r="F483" s="21" t="s">
        <v>219</v>
      </c>
      <c r="G483" s="97" t="s">
        <v>218</v>
      </c>
      <c r="H483" s="41">
        <v>250</v>
      </c>
      <c r="I483" s="41">
        <v>250</v>
      </c>
      <c r="J483" s="93">
        <f t="shared" si="160"/>
        <v>100</v>
      </c>
    </row>
    <row r="484" spans="1:10" s="37" customFormat="1" ht="53.4" x14ac:dyDescent="0.3">
      <c r="A484" s="27"/>
      <c r="B484" s="70"/>
      <c r="C484" s="16" t="s">
        <v>103</v>
      </c>
      <c r="D484" s="16" t="s">
        <v>88</v>
      </c>
      <c r="E484" s="57" t="s">
        <v>673</v>
      </c>
      <c r="F484" s="21"/>
      <c r="G484" s="96" t="s">
        <v>674</v>
      </c>
      <c r="H484" s="41">
        <f>H485</f>
        <v>389.3</v>
      </c>
      <c r="I484" s="41">
        <f t="shared" ref="I484" si="182">I485</f>
        <v>389.3</v>
      </c>
      <c r="J484" s="93">
        <f t="shared" si="160"/>
        <v>100</v>
      </c>
    </row>
    <row r="485" spans="1:10" s="37" customFormat="1" ht="14.4" x14ac:dyDescent="0.3">
      <c r="A485" s="27"/>
      <c r="B485" s="70"/>
      <c r="C485" s="16" t="s">
        <v>103</v>
      </c>
      <c r="D485" s="16" t="s">
        <v>88</v>
      </c>
      <c r="E485" s="57" t="s">
        <v>673</v>
      </c>
      <c r="F485" s="21" t="s">
        <v>219</v>
      </c>
      <c r="G485" s="97" t="s">
        <v>218</v>
      </c>
      <c r="H485" s="41">
        <v>389.3</v>
      </c>
      <c r="I485" s="41">
        <v>389.3</v>
      </c>
      <c r="J485" s="93">
        <f t="shared" si="160"/>
        <v>100</v>
      </c>
    </row>
    <row r="486" spans="1:10" s="37" customFormat="1" ht="52.8" x14ac:dyDescent="0.3">
      <c r="A486" s="27"/>
      <c r="B486" s="70"/>
      <c r="C486" s="56" t="s">
        <v>103</v>
      </c>
      <c r="D486" s="89" t="s">
        <v>88</v>
      </c>
      <c r="E486" s="57" t="s">
        <v>694</v>
      </c>
      <c r="F486" s="21"/>
      <c r="G486" s="97" t="s">
        <v>695</v>
      </c>
      <c r="H486" s="41">
        <f>H487</f>
        <v>685.4</v>
      </c>
      <c r="I486" s="41">
        <f t="shared" ref="I486" si="183">I487</f>
        <v>685.4</v>
      </c>
      <c r="J486" s="93">
        <f t="shared" si="160"/>
        <v>100</v>
      </c>
    </row>
    <row r="487" spans="1:10" s="37" customFormat="1" ht="66" x14ac:dyDescent="0.3">
      <c r="A487" s="27"/>
      <c r="B487" s="70"/>
      <c r="C487" s="56" t="s">
        <v>103</v>
      </c>
      <c r="D487" s="89" t="s">
        <v>88</v>
      </c>
      <c r="E487" s="57" t="s">
        <v>692</v>
      </c>
      <c r="F487" s="21"/>
      <c r="G487" s="97" t="s">
        <v>693</v>
      </c>
      <c r="H487" s="1">
        <f>H488</f>
        <v>685.4</v>
      </c>
      <c r="I487" s="1">
        <f t="shared" ref="I487" si="184">I488</f>
        <v>685.4</v>
      </c>
      <c r="J487" s="93">
        <f t="shared" si="160"/>
        <v>100</v>
      </c>
    </row>
    <row r="488" spans="1:10" s="37" customFormat="1" ht="14.4" x14ac:dyDescent="0.3">
      <c r="A488" s="27"/>
      <c r="B488" s="70"/>
      <c r="C488" s="16" t="s">
        <v>103</v>
      </c>
      <c r="D488" s="16" t="s">
        <v>88</v>
      </c>
      <c r="E488" s="57" t="s">
        <v>692</v>
      </c>
      <c r="F488" s="21" t="s">
        <v>219</v>
      </c>
      <c r="G488" s="97" t="s">
        <v>218</v>
      </c>
      <c r="H488" s="1">
        <v>685.4</v>
      </c>
      <c r="I488" s="1">
        <v>685.4</v>
      </c>
      <c r="J488" s="93">
        <f t="shared" si="160"/>
        <v>100</v>
      </c>
    </row>
    <row r="489" spans="1:10" s="37" customFormat="1" ht="40.200000000000003" x14ac:dyDescent="0.3">
      <c r="A489" s="27"/>
      <c r="B489" s="70"/>
      <c r="C489" s="16" t="s">
        <v>103</v>
      </c>
      <c r="D489" s="16" t="s">
        <v>88</v>
      </c>
      <c r="E489" s="82" t="s">
        <v>25</v>
      </c>
      <c r="F489" s="82"/>
      <c r="G489" s="98" t="s">
        <v>39</v>
      </c>
      <c r="H489" s="41">
        <f>H490</f>
        <v>115</v>
      </c>
      <c r="I489" s="41">
        <f t="shared" ref="I489" si="185">I490</f>
        <v>115</v>
      </c>
      <c r="J489" s="93">
        <f t="shared" si="160"/>
        <v>100</v>
      </c>
    </row>
    <row r="490" spans="1:10" s="37" customFormat="1" ht="52.8" x14ac:dyDescent="0.3">
      <c r="A490" s="27"/>
      <c r="B490" s="70"/>
      <c r="C490" s="16" t="s">
        <v>103</v>
      </c>
      <c r="D490" s="16" t="s">
        <v>88</v>
      </c>
      <c r="E490" s="82" t="s">
        <v>556</v>
      </c>
      <c r="F490" s="16"/>
      <c r="G490" s="54" t="s">
        <v>554</v>
      </c>
      <c r="H490" s="41">
        <f>SUM(H491:H491)</f>
        <v>115</v>
      </c>
      <c r="I490" s="41">
        <f>SUM(I491:I491)</f>
        <v>115</v>
      </c>
      <c r="J490" s="93">
        <f t="shared" si="160"/>
        <v>100</v>
      </c>
    </row>
    <row r="491" spans="1:10" s="37" customFormat="1" ht="14.4" x14ac:dyDescent="0.3">
      <c r="A491" s="27"/>
      <c r="B491" s="70"/>
      <c r="C491" s="16" t="s">
        <v>103</v>
      </c>
      <c r="D491" s="16" t="s">
        <v>88</v>
      </c>
      <c r="E491" s="82" t="s">
        <v>556</v>
      </c>
      <c r="F491" s="21" t="s">
        <v>219</v>
      </c>
      <c r="G491" s="97" t="s">
        <v>218</v>
      </c>
      <c r="H491" s="39">
        <f>70+45</f>
        <v>115</v>
      </c>
      <c r="I491" s="39">
        <v>115</v>
      </c>
      <c r="J491" s="93">
        <f t="shared" si="160"/>
        <v>100</v>
      </c>
    </row>
    <row r="492" spans="1:10" s="37" customFormat="1" ht="14.4" x14ac:dyDescent="0.3">
      <c r="A492" s="27"/>
      <c r="B492" s="70"/>
      <c r="C492" s="35" t="s">
        <v>103</v>
      </c>
      <c r="D492" s="35" t="s">
        <v>92</v>
      </c>
      <c r="E492" s="35"/>
      <c r="F492" s="35"/>
      <c r="G492" s="46" t="s">
        <v>151</v>
      </c>
      <c r="H492" s="42">
        <f>H493+H519</f>
        <v>49608.6</v>
      </c>
      <c r="I492" s="42">
        <f>I493+I519</f>
        <v>49592.800000000003</v>
      </c>
      <c r="J492" s="42">
        <f t="shared" si="160"/>
        <v>100</v>
      </c>
    </row>
    <row r="493" spans="1:10" s="37" customFormat="1" ht="79.8" x14ac:dyDescent="0.3">
      <c r="A493" s="27"/>
      <c r="B493" s="70"/>
      <c r="C493" s="5" t="s">
        <v>103</v>
      </c>
      <c r="D493" s="5" t="s">
        <v>92</v>
      </c>
      <c r="E493" s="73" t="s">
        <v>74</v>
      </c>
      <c r="F493" s="21"/>
      <c r="G493" s="64" t="s">
        <v>559</v>
      </c>
      <c r="H493" s="62">
        <f>H494+H515</f>
        <v>49458.6</v>
      </c>
      <c r="I493" s="62">
        <f>I494+I515</f>
        <v>49442.8</v>
      </c>
      <c r="J493" s="62">
        <f t="shared" si="160"/>
        <v>100</v>
      </c>
    </row>
    <row r="494" spans="1:10" s="37" customFormat="1" ht="40.200000000000003" x14ac:dyDescent="0.3">
      <c r="A494" s="27"/>
      <c r="B494" s="70"/>
      <c r="C494" s="16" t="s">
        <v>103</v>
      </c>
      <c r="D494" s="82" t="s">
        <v>92</v>
      </c>
      <c r="E494" s="52" t="s">
        <v>406</v>
      </c>
      <c r="F494" s="35"/>
      <c r="G494" s="46" t="s">
        <v>407</v>
      </c>
      <c r="H494" s="93">
        <f>H495+H508</f>
        <v>49408.6</v>
      </c>
      <c r="I494" s="93">
        <f>I495+I508</f>
        <v>49393.600000000006</v>
      </c>
      <c r="J494" s="58">
        <f t="shared" si="160"/>
        <v>100</v>
      </c>
    </row>
    <row r="495" spans="1:10" s="37" customFormat="1" ht="53.4" x14ac:dyDescent="0.3">
      <c r="A495" s="27"/>
      <c r="B495" s="70"/>
      <c r="C495" s="16" t="s">
        <v>103</v>
      </c>
      <c r="D495" s="82" t="s">
        <v>92</v>
      </c>
      <c r="E495" s="21" t="s">
        <v>411</v>
      </c>
      <c r="F495" s="21"/>
      <c r="G495" s="96" t="s">
        <v>408</v>
      </c>
      <c r="H495" s="41">
        <f>H496+H498+H500+H502+H504+H506</f>
        <v>48213.599999999999</v>
      </c>
      <c r="I495" s="41">
        <f>I496+I498+I500+I502+I504+I506</f>
        <v>48198.600000000006</v>
      </c>
      <c r="J495" s="93">
        <f t="shared" ref="J495:J558" si="186">ROUND((I495/H495*100),1)</f>
        <v>100</v>
      </c>
    </row>
    <row r="496" spans="1:10" s="37" customFormat="1" ht="79.2" x14ac:dyDescent="0.3">
      <c r="A496" s="27"/>
      <c r="B496" s="70"/>
      <c r="C496" s="16" t="s">
        <v>103</v>
      </c>
      <c r="D496" s="82" t="s">
        <v>92</v>
      </c>
      <c r="E496" s="57" t="s">
        <v>410</v>
      </c>
      <c r="F496" s="16"/>
      <c r="G496" s="97" t="s">
        <v>409</v>
      </c>
      <c r="H496" s="93">
        <f>H497</f>
        <v>30540.799999999999</v>
      </c>
      <c r="I496" s="93">
        <f>I497</f>
        <v>30540.799999999999</v>
      </c>
      <c r="J496" s="93">
        <f t="shared" si="186"/>
        <v>100</v>
      </c>
    </row>
    <row r="497" spans="1:10" s="37" customFormat="1" ht="14.4" x14ac:dyDescent="0.3">
      <c r="A497" s="27"/>
      <c r="B497" s="70"/>
      <c r="C497" s="16" t="s">
        <v>103</v>
      </c>
      <c r="D497" s="82" t="s">
        <v>92</v>
      </c>
      <c r="E497" s="57" t="s">
        <v>410</v>
      </c>
      <c r="F497" s="21" t="s">
        <v>219</v>
      </c>
      <c r="G497" s="97" t="s">
        <v>218</v>
      </c>
      <c r="H497" s="93">
        <f>35352.5+721.3-11440.4+4500-22.4-2.4+1432.2</f>
        <v>30540.799999999999</v>
      </c>
      <c r="I497" s="93">
        <v>30540.799999999999</v>
      </c>
      <c r="J497" s="93">
        <f t="shared" si="186"/>
        <v>100</v>
      </c>
    </row>
    <row r="498" spans="1:10" s="37" customFormat="1" ht="39" customHeight="1" x14ac:dyDescent="0.3">
      <c r="A498" s="27"/>
      <c r="B498" s="70"/>
      <c r="C498" s="16" t="s">
        <v>103</v>
      </c>
      <c r="D498" s="82" t="s">
        <v>92</v>
      </c>
      <c r="E498" s="57" t="s">
        <v>657</v>
      </c>
      <c r="F498" s="21"/>
      <c r="G498" s="97" t="s">
        <v>658</v>
      </c>
      <c r="H498" s="93">
        <f>SUM(H499:H499)</f>
        <v>5837.9000000000015</v>
      </c>
      <c r="I498" s="93">
        <f>SUM(I499:I499)</f>
        <v>5837.9</v>
      </c>
      <c r="J498" s="93">
        <f t="shared" si="186"/>
        <v>100</v>
      </c>
    </row>
    <row r="499" spans="1:10" s="37" customFormat="1" ht="14.4" x14ac:dyDescent="0.3">
      <c r="A499" s="27"/>
      <c r="B499" s="70"/>
      <c r="C499" s="16" t="s">
        <v>103</v>
      </c>
      <c r="D499" s="82" t="s">
        <v>92</v>
      </c>
      <c r="E499" s="57" t="s">
        <v>657</v>
      </c>
      <c r="F499" s="21" t="s">
        <v>219</v>
      </c>
      <c r="G499" s="97" t="s">
        <v>218</v>
      </c>
      <c r="H499" s="93">
        <f>329.7+10817.4+155.7-4500-964.9</f>
        <v>5837.9000000000015</v>
      </c>
      <c r="I499" s="93">
        <v>5837.9</v>
      </c>
      <c r="J499" s="93">
        <f t="shared" si="186"/>
        <v>100</v>
      </c>
    </row>
    <row r="500" spans="1:10" s="37" customFormat="1" ht="79.2" x14ac:dyDescent="0.3">
      <c r="A500" s="27"/>
      <c r="B500" s="70"/>
      <c r="C500" s="16" t="s">
        <v>103</v>
      </c>
      <c r="D500" s="82" t="s">
        <v>92</v>
      </c>
      <c r="E500" s="57" t="s">
        <v>412</v>
      </c>
      <c r="F500" s="21"/>
      <c r="G500" s="97" t="s">
        <v>413</v>
      </c>
      <c r="H500" s="93">
        <f>H501</f>
        <v>11479.3</v>
      </c>
      <c r="I500" s="93">
        <f>I501</f>
        <v>11479.3</v>
      </c>
      <c r="J500" s="93">
        <f t="shared" si="186"/>
        <v>100</v>
      </c>
    </row>
    <row r="501" spans="1:10" s="37" customFormat="1" ht="14.4" x14ac:dyDescent="0.3">
      <c r="A501" s="27"/>
      <c r="B501" s="70"/>
      <c r="C501" s="16" t="s">
        <v>103</v>
      </c>
      <c r="D501" s="82" t="s">
        <v>92</v>
      </c>
      <c r="E501" s="57" t="s">
        <v>412</v>
      </c>
      <c r="F501" s="21" t="s">
        <v>219</v>
      </c>
      <c r="G501" s="97" t="s">
        <v>218</v>
      </c>
      <c r="H501" s="130">
        <f>9259.8+1+2218.5</f>
        <v>11479.3</v>
      </c>
      <c r="I501" s="130">
        <v>11479.3</v>
      </c>
      <c r="J501" s="93">
        <f t="shared" si="186"/>
        <v>100</v>
      </c>
    </row>
    <row r="502" spans="1:10" s="37" customFormat="1" ht="79.2" x14ac:dyDescent="0.3">
      <c r="A502" s="27"/>
      <c r="B502" s="70"/>
      <c r="C502" s="16" t="s">
        <v>103</v>
      </c>
      <c r="D502" s="82" t="s">
        <v>92</v>
      </c>
      <c r="E502" s="57" t="s">
        <v>414</v>
      </c>
      <c r="F502" s="57"/>
      <c r="G502" s="97" t="s">
        <v>415</v>
      </c>
      <c r="H502" s="39">
        <f>H503</f>
        <v>116</v>
      </c>
      <c r="I502" s="39">
        <f>I503</f>
        <v>116</v>
      </c>
      <c r="J502" s="93">
        <f t="shared" si="186"/>
        <v>100</v>
      </c>
    </row>
    <row r="503" spans="1:10" s="37" customFormat="1" ht="14.4" x14ac:dyDescent="0.3">
      <c r="A503" s="27"/>
      <c r="B503" s="70"/>
      <c r="C503" s="16" t="s">
        <v>103</v>
      </c>
      <c r="D503" s="82" t="s">
        <v>92</v>
      </c>
      <c r="E503" s="21" t="s">
        <v>414</v>
      </c>
      <c r="F503" s="21" t="s">
        <v>219</v>
      </c>
      <c r="G503" s="97" t="s">
        <v>218</v>
      </c>
      <c r="H503" s="41">
        <f>93.6+22.4</f>
        <v>116</v>
      </c>
      <c r="I503" s="41">
        <v>116</v>
      </c>
      <c r="J503" s="93">
        <f t="shared" si="186"/>
        <v>100</v>
      </c>
    </row>
    <row r="504" spans="1:10" s="37" customFormat="1" ht="51" customHeight="1" x14ac:dyDescent="0.3">
      <c r="A504" s="27"/>
      <c r="B504" s="70"/>
      <c r="C504" s="16" t="s">
        <v>103</v>
      </c>
      <c r="D504" s="82" t="s">
        <v>92</v>
      </c>
      <c r="E504" s="21" t="s">
        <v>707</v>
      </c>
      <c r="F504" s="21"/>
      <c r="G504" s="107" t="s">
        <v>708</v>
      </c>
      <c r="H504" s="41">
        <f>H505</f>
        <v>237.2</v>
      </c>
      <c r="I504" s="41">
        <f t="shared" ref="I504" si="187">I505</f>
        <v>222.3</v>
      </c>
      <c r="J504" s="93">
        <f t="shared" si="186"/>
        <v>93.7</v>
      </c>
    </row>
    <row r="505" spans="1:10" s="37" customFormat="1" ht="14.4" x14ac:dyDescent="0.3">
      <c r="A505" s="27"/>
      <c r="B505" s="70"/>
      <c r="C505" s="16" t="s">
        <v>103</v>
      </c>
      <c r="D505" s="82" t="s">
        <v>92</v>
      </c>
      <c r="E505" s="21" t="s">
        <v>707</v>
      </c>
      <c r="F505" s="21" t="s">
        <v>219</v>
      </c>
      <c r="G505" s="97" t="s">
        <v>218</v>
      </c>
      <c r="H505" s="41">
        <v>237.2</v>
      </c>
      <c r="I505" s="41">
        <v>222.3</v>
      </c>
      <c r="J505" s="93">
        <f t="shared" si="186"/>
        <v>93.7</v>
      </c>
    </row>
    <row r="506" spans="1:10" s="37" customFormat="1" ht="63.75" customHeight="1" x14ac:dyDescent="0.3">
      <c r="A506" s="27"/>
      <c r="B506" s="70"/>
      <c r="C506" s="16" t="s">
        <v>103</v>
      </c>
      <c r="D506" s="82" t="s">
        <v>92</v>
      </c>
      <c r="E506" s="21" t="s">
        <v>709</v>
      </c>
      <c r="F506" s="21"/>
      <c r="G506" s="107" t="s">
        <v>710</v>
      </c>
      <c r="H506" s="41">
        <f>H507</f>
        <v>2.4</v>
      </c>
      <c r="I506" s="41">
        <f t="shared" ref="I506" si="188">I507</f>
        <v>2.2999999999999998</v>
      </c>
      <c r="J506" s="93">
        <f t="shared" si="186"/>
        <v>95.8</v>
      </c>
    </row>
    <row r="507" spans="1:10" s="37" customFormat="1" ht="14.4" x14ac:dyDescent="0.3">
      <c r="A507" s="27"/>
      <c r="B507" s="70"/>
      <c r="C507" s="16" t="s">
        <v>103</v>
      </c>
      <c r="D507" s="82" t="s">
        <v>92</v>
      </c>
      <c r="E507" s="21" t="s">
        <v>709</v>
      </c>
      <c r="F507" s="21" t="s">
        <v>219</v>
      </c>
      <c r="G507" s="97" t="s">
        <v>218</v>
      </c>
      <c r="H507" s="41">
        <v>2.4</v>
      </c>
      <c r="I507" s="41">
        <v>2.2999999999999998</v>
      </c>
      <c r="J507" s="93">
        <f t="shared" si="186"/>
        <v>95.8</v>
      </c>
    </row>
    <row r="508" spans="1:10" s="37" customFormat="1" ht="40.200000000000003" x14ac:dyDescent="0.3">
      <c r="A508" s="27"/>
      <c r="B508" s="70"/>
      <c r="C508" s="16" t="s">
        <v>103</v>
      </c>
      <c r="D508" s="82" t="s">
        <v>92</v>
      </c>
      <c r="E508" s="21" t="s">
        <v>417</v>
      </c>
      <c r="F508" s="82"/>
      <c r="G508" s="96" t="s">
        <v>416</v>
      </c>
      <c r="H508" s="41">
        <f>H509+H511+H513</f>
        <v>1195</v>
      </c>
      <c r="I508" s="41">
        <f t="shared" ref="I508" si="189">I509+I511+I513</f>
        <v>1195</v>
      </c>
      <c r="J508" s="93">
        <f t="shared" si="186"/>
        <v>100</v>
      </c>
    </row>
    <row r="509" spans="1:10" s="37" customFormat="1" ht="53.4" x14ac:dyDescent="0.3">
      <c r="A509" s="27"/>
      <c r="B509" s="70"/>
      <c r="C509" s="16" t="s">
        <v>103</v>
      </c>
      <c r="D509" s="82" t="s">
        <v>92</v>
      </c>
      <c r="E509" s="57" t="s">
        <v>548</v>
      </c>
      <c r="F509" s="21"/>
      <c r="G509" s="107" t="s">
        <v>418</v>
      </c>
      <c r="H509" s="93">
        <f>H510</f>
        <v>795</v>
      </c>
      <c r="I509" s="93">
        <f t="shared" ref="I509" si="190">I510</f>
        <v>795</v>
      </c>
      <c r="J509" s="93">
        <f t="shared" si="186"/>
        <v>100</v>
      </c>
    </row>
    <row r="510" spans="1:10" s="37" customFormat="1" ht="14.4" x14ac:dyDescent="0.3">
      <c r="A510" s="27"/>
      <c r="B510" s="70"/>
      <c r="C510" s="16" t="s">
        <v>103</v>
      </c>
      <c r="D510" s="82" t="s">
        <v>92</v>
      </c>
      <c r="E510" s="57" t="s">
        <v>548</v>
      </c>
      <c r="F510" s="21" t="s">
        <v>219</v>
      </c>
      <c r="G510" s="97" t="s">
        <v>218</v>
      </c>
      <c r="H510" s="93">
        <v>795</v>
      </c>
      <c r="I510" s="93">
        <v>795</v>
      </c>
      <c r="J510" s="93">
        <f t="shared" si="186"/>
        <v>100</v>
      </c>
    </row>
    <row r="511" spans="1:10" s="37" customFormat="1" ht="39.6" x14ac:dyDescent="0.3">
      <c r="A511" s="27"/>
      <c r="B511" s="70"/>
      <c r="C511" s="16" t="s">
        <v>103</v>
      </c>
      <c r="D511" s="82" t="s">
        <v>92</v>
      </c>
      <c r="E511" s="57" t="s">
        <v>419</v>
      </c>
      <c r="F511" s="21"/>
      <c r="G511" s="97" t="s">
        <v>178</v>
      </c>
      <c r="H511" s="41">
        <f>H512</f>
        <v>250</v>
      </c>
      <c r="I511" s="41">
        <f t="shared" ref="I511" si="191">I512</f>
        <v>250</v>
      </c>
      <c r="J511" s="93">
        <f t="shared" si="186"/>
        <v>100</v>
      </c>
    </row>
    <row r="512" spans="1:10" s="37" customFormat="1" ht="14.4" x14ac:dyDescent="0.3">
      <c r="A512" s="27"/>
      <c r="B512" s="70"/>
      <c r="C512" s="16" t="s">
        <v>103</v>
      </c>
      <c r="D512" s="82" t="s">
        <v>92</v>
      </c>
      <c r="E512" s="57" t="s">
        <v>419</v>
      </c>
      <c r="F512" s="21" t="s">
        <v>219</v>
      </c>
      <c r="G512" s="97" t="s">
        <v>218</v>
      </c>
      <c r="H512" s="41">
        <v>250</v>
      </c>
      <c r="I512" s="41">
        <v>250</v>
      </c>
      <c r="J512" s="93">
        <f t="shared" si="186"/>
        <v>100</v>
      </c>
    </row>
    <row r="513" spans="1:10" s="37" customFormat="1" ht="39.6" x14ac:dyDescent="0.3">
      <c r="A513" s="27"/>
      <c r="B513" s="70"/>
      <c r="C513" s="16" t="s">
        <v>103</v>
      </c>
      <c r="D513" s="82" t="s">
        <v>92</v>
      </c>
      <c r="E513" s="57" t="s">
        <v>420</v>
      </c>
      <c r="F513" s="21"/>
      <c r="G513" s="97" t="s">
        <v>421</v>
      </c>
      <c r="H513" s="41">
        <f>H514</f>
        <v>150</v>
      </c>
      <c r="I513" s="41">
        <f t="shared" ref="I513" si="192">I514</f>
        <v>150</v>
      </c>
      <c r="J513" s="93">
        <f t="shared" si="186"/>
        <v>100</v>
      </c>
    </row>
    <row r="514" spans="1:10" s="37" customFormat="1" ht="14.4" x14ac:dyDescent="0.3">
      <c r="A514" s="27"/>
      <c r="B514" s="70"/>
      <c r="C514" s="16" t="s">
        <v>103</v>
      </c>
      <c r="D514" s="82" t="s">
        <v>92</v>
      </c>
      <c r="E514" s="57" t="s">
        <v>420</v>
      </c>
      <c r="F514" s="21" t="s">
        <v>219</v>
      </c>
      <c r="G514" s="97" t="s">
        <v>218</v>
      </c>
      <c r="H514" s="41">
        <v>150</v>
      </c>
      <c r="I514" s="41">
        <v>150</v>
      </c>
      <c r="J514" s="93">
        <f t="shared" si="186"/>
        <v>100</v>
      </c>
    </row>
    <row r="515" spans="1:10" s="37" customFormat="1" ht="28.5" customHeight="1" x14ac:dyDescent="0.3">
      <c r="A515" s="27"/>
      <c r="B515" s="70"/>
      <c r="C515" s="47" t="s">
        <v>103</v>
      </c>
      <c r="D515" s="47" t="s">
        <v>92</v>
      </c>
      <c r="E515" s="52" t="s">
        <v>423</v>
      </c>
      <c r="F515" s="82"/>
      <c r="G515" s="46" t="s">
        <v>422</v>
      </c>
      <c r="H515" s="92">
        <f>H516</f>
        <v>50</v>
      </c>
      <c r="I515" s="92">
        <f t="shared" ref="I515" si="193">I516</f>
        <v>49.2</v>
      </c>
      <c r="J515" s="93">
        <f t="shared" si="186"/>
        <v>98.4</v>
      </c>
    </row>
    <row r="516" spans="1:10" s="37" customFormat="1" ht="27" x14ac:dyDescent="0.3">
      <c r="A516" s="27"/>
      <c r="B516" s="70"/>
      <c r="C516" s="16" t="s">
        <v>103</v>
      </c>
      <c r="D516" s="82" t="s">
        <v>92</v>
      </c>
      <c r="E516" s="21" t="s">
        <v>424</v>
      </c>
      <c r="F516" s="21"/>
      <c r="G516" s="96" t="s">
        <v>460</v>
      </c>
      <c r="H516" s="41">
        <f>H517</f>
        <v>50</v>
      </c>
      <c r="I516" s="41">
        <f t="shared" ref="I516" si="194">I517</f>
        <v>49.2</v>
      </c>
      <c r="J516" s="93">
        <f t="shared" si="186"/>
        <v>98.4</v>
      </c>
    </row>
    <row r="517" spans="1:10" s="37" customFormat="1" ht="79.2" x14ac:dyDescent="0.3">
      <c r="A517" s="27"/>
      <c r="B517" s="70"/>
      <c r="C517" s="16" t="s">
        <v>103</v>
      </c>
      <c r="D517" s="82" t="s">
        <v>92</v>
      </c>
      <c r="E517" s="57" t="s">
        <v>542</v>
      </c>
      <c r="F517" s="16"/>
      <c r="G517" s="97" t="s">
        <v>426</v>
      </c>
      <c r="H517" s="41">
        <f>H518</f>
        <v>50</v>
      </c>
      <c r="I517" s="41">
        <f>I518</f>
        <v>49.2</v>
      </c>
      <c r="J517" s="93">
        <f t="shared" si="186"/>
        <v>98.4</v>
      </c>
    </row>
    <row r="518" spans="1:10" s="37" customFormat="1" ht="14.4" x14ac:dyDescent="0.3">
      <c r="A518" s="27"/>
      <c r="B518" s="70"/>
      <c r="C518" s="16" t="s">
        <v>103</v>
      </c>
      <c r="D518" s="82" t="s">
        <v>92</v>
      </c>
      <c r="E518" s="57" t="s">
        <v>542</v>
      </c>
      <c r="F518" s="21" t="s">
        <v>219</v>
      </c>
      <c r="G518" s="97" t="s">
        <v>218</v>
      </c>
      <c r="H518" s="41">
        <v>50</v>
      </c>
      <c r="I518" s="41">
        <v>49.2</v>
      </c>
      <c r="J518" s="93">
        <f t="shared" si="186"/>
        <v>98.4</v>
      </c>
    </row>
    <row r="519" spans="1:10" s="37" customFormat="1" ht="40.200000000000003" x14ac:dyDescent="0.3">
      <c r="A519" s="27"/>
      <c r="B519" s="70"/>
      <c r="C519" s="82" t="s">
        <v>103</v>
      </c>
      <c r="D519" s="82" t="s">
        <v>92</v>
      </c>
      <c r="E519" s="82" t="s">
        <v>25</v>
      </c>
      <c r="F519" s="82"/>
      <c r="G519" s="98" t="s">
        <v>39</v>
      </c>
      <c r="H519" s="41">
        <f>H520</f>
        <v>150</v>
      </c>
      <c r="I519" s="41">
        <f t="shared" ref="I519" si="195">I520</f>
        <v>150</v>
      </c>
      <c r="J519" s="93">
        <f t="shared" si="186"/>
        <v>100</v>
      </c>
    </row>
    <row r="520" spans="1:10" s="37" customFormat="1" ht="52.8" x14ac:dyDescent="0.3">
      <c r="A520" s="27"/>
      <c r="B520" s="70"/>
      <c r="C520" s="16" t="s">
        <v>103</v>
      </c>
      <c r="D520" s="82" t="s">
        <v>92</v>
      </c>
      <c r="E520" s="82" t="s">
        <v>556</v>
      </c>
      <c r="F520" s="16"/>
      <c r="G520" s="54" t="s">
        <v>554</v>
      </c>
      <c r="H520" s="41">
        <f>SUM(H521:H521)</f>
        <v>150</v>
      </c>
      <c r="I520" s="41">
        <f>SUM(I521:I521)</f>
        <v>150</v>
      </c>
      <c r="J520" s="93">
        <f t="shared" si="186"/>
        <v>100</v>
      </c>
    </row>
    <row r="521" spans="1:10" s="37" customFormat="1" ht="14.4" x14ac:dyDescent="0.3">
      <c r="A521" s="27"/>
      <c r="B521" s="70"/>
      <c r="C521" s="16" t="s">
        <v>103</v>
      </c>
      <c r="D521" s="82" t="s">
        <v>92</v>
      </c>
      <c r="E521" s="82" t="s">
        <v>556</v>
      </c>
      <c r="F521" s="21" t="s">
        <v>219</v>
      </c>
      <c r="G521" s="97" t="s">
        <v>218</v>
      </c>
      <c r="H521" s="39">
        <v>150</v>
      </c>
      <c r="I521" s="39">
        <v>150</v>
      </c>
      <c r="J521" s="93">
        <f t="shared" si="186"/>
        <v>100</v>
      </c>
    </row>
    <row r="522" spans="1:10" s="36" customFormat="1" ht="40.200000000000003" x14ac:dyDescent="0.3">
      <c r="A522" s="27"/>
      <c r="B522" s="70"/>
      <c r="C522" s="35" t="s">
        <v>103</v>
      </c>
      <c r="D522" s="35" t="s">
        <v>94</v>
      </c>
      <c r="E522" s="35"/>
      <c r="F522" s="35"/>
      <c r="G522" s="46" t="s">
        <v>2</v>
      </c>
      <c r="H522" s="42">
        <f t="shared" ref="H522:I523" si="196">H523</f>
        <v>209.2</v>
      </c>
      <c r="I522" s="42">
        <f t="shared" si="196"/>
        <v>193.9</v>
      </c>
      <c r="J522" s="42">
        <f t="shared" si="186"/>
        <v>92.7</v>
      </c>
    </row>
    <row r="523" spans="1:10" s="36" customFormat="1" ht="79.8" x14ac:dyDescent="0.3">
      <c r="A523" s="27"/>
      <c r="B523" s="70"/>
      <c r="C523" s="16" t="s">
        <v>103</v>
      </c>
      <c r="D523" s="16" t="s">
        <v>94</v>
      </c>
      <c r="E523" s="21" t="s">
        <v>74</v>
      </c>
      <c r="F523" s="35"/>
      <c r="G523" s="64" t="s">
        <v>559</v>
      </c>
      <c r="H523" s="62">
        <f t="shared" si="196"/>
        <v>209.2</v>
      </c>
      <c r="I523" s="62">
        <f t="shared" si="196"/>
        <v>193.9</v>
      </c>
      <c r="J523" s="62">
        <f t="shared" si="186"/>
        <v>92.7</v>
      </c>
    </row>
    <row r="524" spans="1:10" s="36" customFormat="1" ht="28.5" customHeight="1" x14ac:dyDescent="0.3">
      <c r="A524" s="27"/>
      <c r="B524" s="70"/>
      <c r="C524" s="16" t="s">
        <v>103</v>
      </c>
      <c r="D524" s="16" t="s">
        <v>94</v>
      </c>
      <c r="E524" s="52" t="s">
        <v>423</v>
      </c>
      <c r="F524" s="35"/>
      <c r="G524" s="46" t="s">
        <v>422</v>
      </c>
      <c r="H524" s="58">
        <f>H526</f>
        <v>209.2</v>
      </c>
      <c r="I524" s="58">
        <f>I526</f>
        <v>193.9</v>
      </c>
      <c r="J524" s="58">
        <f t="shared" si="186"/>
        <v>92.7</v>
      </c>
    </row>
    <row r="525" spans="1:10" s="36" customFormat="1" ht="40.200000000000003" x14ac:dyDescent="0.3">
      <c r="A525" s="27"/>
      <c r="B525" s="70"/>
      <c r="C525" s="16" t="s">
        <v>103</v>
      </c>
      <c r="D525" s="16" t="s">
        <v>94</v>
      </c>
      <c r="E525" s="21" t="s">
        <v>427</v>
      </c>
      <c r="F525" s="21"/>
      <c r="G525" s="96" t="s">
        <v>428</v>
      </c>
      <c r="H525" s="39">
        <f>H526</f>
        <v>209.2</v>
      </c>
      <c r="I525" s="39">
        <f t="shared" ref="I525" si="197">I526</f>
        <v>193.9</v>
      </c>
      <c r="J525" s="93">
        <f t="shared" si="186"/>
        <v>92.7</v>
      </c>
    </row>
    <row r="526" spans="1:10" s="36" customFormat="1" ht="39.6" x14ac:dyDescent="0.3">
      <c r="A526" s="27"/>
      <c r="B526" s="70"/>
      <c r="C526" s="16" t="s">
        <v>103</v>
      </c>
      <c r="D526" s="16" t="s">
        <v>94</v>
      </c>
      <c r="E526" s="57" t="s">
        <v>543</v>
      </c>
      <c r="F526" s="16"/>
      <c r="G526" s="97" t="s">
        <v>45</v>
      </c>
      <c r="H526" s="41">
        <f>H527</f>
        <v>209.2</v>
      </c>
      <c r="I526" s="41">
        <f>I527</f>
        <v>193.9</v>
      </c>
      <c r="J526" s="93">
        <f t="shared" si="186"/>
        <v>92.7</v>
      </c>
    </row>
    <row r="527" spans="1:10" x14ac:dyDescent="0.25">
      <c r="A527" s="1"/>
      <c r="B527" s="25"/>
      <c r="C527" s="16" t="s">
        <v>103</v>
      </c>
      <c r="D527" s="16" t="s">
        <v>94</v>
      </c>
      <c r="E527" s="57" t="s">
        <v>543</v>
      </c>
      <c r="F527" s="21" t="s">
        <v>219</v>
      </c>
      <c r="G527" s="97" t="s">
        <v>218</v>
      </c>
      <c r="H527" s="93">
        <f>250-40.8</f>
        <v>209.2</v>
      </c>
      <c r="I527" s="93">
        <v>193.9</v>
      </c>
      <c r="J527" s="93">
        <f t="shared" si="186"/>
        <v>92.7</v>
      </c>
    </row>
    <row r="528" spans="1:10" s="37" customFormat="1" ht="14.4" x14ac:dyDescent="0.3">
      <c r="A528" s="27"/>
      <c r="B528" s="70"/>
      <c r="C528" s="35" t="s">
        <v>103</v>
      </c>
      <c r="D528" s="35" t="s">
        <v>98</v>
      </c>
      <c r="E528" s="35"/>
      <c r="F528" s="35"/>
      <c r="G528" s="45" t="s">
        <v>108</v>
      </c>
      <c r="H528" s="42">
        <f t="shared" ref="H528:I528" si="198">H529</f>
        <v>13980.7</v>
      </c>
      <c r="I528" s="42">
        <f t="shared" si="198"/>
        <v>13324.599999999999</v>
      </c>
      <c r="J528" s="42">
        <f t="shared" si="186"/>
        <v>95.3</v>
      </c>
    </row>
    <row r="529" spans="1:10" s="37" customFormat="1" ht="79.8" x14ac:dyDescent="0.3">
      <c r="A529" s="27"/>
      <c r="B529" s="70"/>
      <c r="C529" s="16" t="s">
        <v>103</v>
      </c>
      <c r="D529" s="16" t="s">
        <v>98</v>
      </c>
      <c r="E529" s="21" t="s">
        <v>74</v>
      </c>
      <c r="F529" s="35"/>
      <c r="G529" s="64" t="s">
        <v>559</v>
      </c>
      <c r="H529" s="62">
        <f>H530+H540+H562</f>
        <v>13980.7</v>
      </c>
      <c r="I529" s="62">
        <f>I530+I540+I562</f>
        <v>13324.599999999999</v>
      </c>
      <c r="J529" s="62">
        <f t="shared" si="186"/>
        <v>95.3</v>
      </c>
    </row>
    <row r="530" spans="1:10" s="37" customFormat="1" ht="40.5" customHeight="1" x14ac:dyDescent="0.3">
      <c r="A530" s="27"/>
      <c r="B530" s="70"/>
      <c r="C530" s="16" t="s">
        <v>103</v>
      </c>
      <c r="D530" s="16" t="s">
        <v>98</v>
      </c>
      <c r="E530" s="52" t="s">
        <v>76</v>
      </c>
      <c r="F530" s="21"/>
      <c r="G530" s="46" t="s">
        <v>549</v>
      </c>
      <c r="H530" s="58">
        <f>H531</f>
        <v>3989.1000000000004</v>
      </c>
      <c r="I530" s="58">
        <f>I531</f>
        <v>3337.3</v>
      </c>
      <c r="J530" s="58">
        <f t="shared" si="186"/>
        <v>83.7</v>
      </c>
    </row>
    <row r="531" spans="1:10" s="37" customFormat="1" ht="53.4" x14ac:dyDescent="0.3">
      <c r="A531" s="27"/>
      <c r="B531" s="70"/>
      <c r="C531" s="16" t="s">
        <v>103</v>
      </c>
      <c r="D531" s="16" t="s">
        <v>98</v>
      </c>
      <c r="E531" s="21" t="s">
        <v>401</v>
      </c>
      <c r="F531" s="21"/>
      <c r="G531" s="96" t="s">
        <v>402</v>
      </c>
      <c r="H531" s="93">
        <f>H532+H534+H537</f>
        <v>3989.1000000000004</v>
      </c>
      <c r="I531" s="93">
        <f>I532+I534+I537</f>
        <v>3337.3</v>
      </c>
      <c r="J531" s="93">
        <f t="shared" si="186"/>
        <v>83.7</v>
      </c>
    </row>
    <row r="532" spans="1:10" s="37" customFormat="1" ht="14.4" x14ac:dyDescent="0.3">
      <c r="A532" s="27"/>
      <c r="B532" s="70"/>
      <c r="C532" s="16" t="s">
        <v>103</v>
      </c>
      <c r="D532" s="16" t="s">
        <v>98</v>
      </c>
      <c r="E532" s="57" t="s">
        <v>403</v>
      </c>
      <c r="F532" s="21"/>
      <c r="G532" s="97" t="s">
        <v>46</v>
      </c>
      <c r="H532" s="41">
        <f>H533</f>
        <v>1506.9</v>
      </c>
      <c r="I532" s="41">
        <f>I533</f>
        <v>1441.7</v>
      </c>
      <c r="J532" s="93">
        <f t="shared" si="186"/>
        <v>95.7</v>
      </c>
    </row>
    <row r="533" spans="1:10" s="37" customFormat="1" ht="14.4" x14ac:dyDescent="0.3">
      <c r="A533" s="27"/>
      <c r="B533" s="70"/>
      <c r="C533" s="16" t="s">
        <v>103</v>
      </c>
      <c r="D533" s="16" t="s">
        <v>98</v>
      </c>
      <c r="E533" s="57" t="s">
        <v>403</v>
      </c>
      <c r="F533" s="21" t="s">
        <v>219</v>
      </c>
      <c r="G533" s="97" t="s">
        <v>218</v>
      </c>
      <c r="H533" s="41">
        <f>1200.2+306.7</f>
        <v>1506.9</v>
      </c>
      <c r="I533" s="41">
        <v>1441.7</v>
      </c>
      <c r="J533" s="93">
        <f t="shared" si="186"/>
        <v>95.7</v>
      </c>
    </row>
    <row r="534" spans="1:10" s="37" customFormat="1" ht="39.6" x14ac:dyDescent="0.3">
      <c r="A534" s="27"/>
      <c r="B534" s="70"/>
      <c r="C534" s="16" t="s">
        <v>103</v>
      </c>
      <c r="D534" s="16" t="s">
        <v>98</v>
      </c>
      <c r="E534" s="57" t="s">
        <v>405</v>
      </c>
      <c r="F534" s="21"/>
      <c r="G534" s="97" t="s">
        <v>404</v>
      </c>
      <c r="H534" s="41">
        <f>SUM(H535:H536)</f>
        <v>2341.8000000000002</v>
      </c>
      <c r="I534" s="41">
        <f>SUM(I535:I536)</f>
        <v>1755.2</v>
      </c>
      <c r="J534" s="93">
        <f t="shared" si="186"/>
        <v>75</v>
      </c>
    </row>
    <row r="535" spans="1:10" s="37" customFormat="1" ht="14.4" x14ac:dyDescent="0.3">
      <c r="A535" s="27"/>
      <c r="B535" s="70"/>
      <c r="C535" s="16" t="s">
        <v>103</v>
      </c>
      <c r="D535" s="16" t="s">
        <v>98</v>
      </c>
      <c r="E535" s="57" t="s">
        <v>405</v>
      </c>
      <c r="F535" s="21" t="s">
        <v>219</v>
      </c>
      <c r="G535" s="97" t="s">
        <v>218</v>
      </c>
      <c r="H535" s="39">
        <v>2141.8000000000002</v>
      </c>
      <c r="I535" s="39">
        <v>1656.4</v>
      </c>
      <c r="J535" s="93">
        <f t="shared" si="186"/>
        <v>77.3</v>
      </c>
    </row>
    <row r="536" spans="1:10" s="37" customFormat="1" ht="66" x14ac:dyDescent="0.3">
      <c r="A536" s="27"/>
      <c r="B536" s="70"/>
      <c r="C536" s="16" t="s">
        <v>103</v>
      </c>
      <c r="D536" s="16" t="s">
        <v>98</v>
      </c>
      <c r="E536" s="57" t="s">
        <v>405</v>
      </c>
      <c r="F536" s="16" t="s">
        <v>12</v>
      </c>
      <c r="G536" s="97" t="s">
        <v>361</v>
      </c>
      <c r="H536" s="41">
        <v>200</v>
      </c>
      <c r="I536" s="41">
        <v>98.8</v>
      </c>
      <c r="J536" s="93">
        <f t="shared" si="186"/>
        <v>49.4</v>
      </c>
    </row>
    <row r="537" spans="1:10" s="37" customFormat="1" ht="39.6" x14ac:dyDescent="0.3">
      <c r="A537" s="27"/>
      <c r="B537" s="70"/>
      <c r="C537" s="16" t="s">
        <v>103</v>
      </c>
      <c r="D537" s="16" t="s">
        <v>98</v>
      </c>
      <c r="E537" s="57" t="s">
        <v>545</v>
      </c>
      <c r="F537" s="21"/>
      <c r="G537" s="97" t="s">
        <v>132</v>
      </c>
      <c r="H537" s="41">
        <f>SUM(H538:H539)</f>
        <v>140.4</v>
      </c>
      <c r="I537" s="41">
        <f>SUM(I538:I539)</f>
        <v>140.4</v>
      </c>
      <c r="J537" s="93">
        <f t="shared" si="186"/>
        <v>100</v>
      </c>
    </row>
    <row r="538" spans="1:10" s="37" customFormat="1" ht="26.4" x14ac:dyDescent="0.3">
      <c r="A538" s="27"/>
      <c r="B538" s="70"/>
      <c r="C538" s="16" t="s">
        <v>103</v>
      </c>
      <c r="D538" s="16" t="s">
        <v>98</v>
      </c>
      <c r="E538" s="57" t="s">
        <v>545</v>
      </c>
      <c r="F538" s="82" t="s">
        <v>65</v>
      </c>
      <c r="G538" s="55" t="s">
        <v>128</v>
      </c>
      <c r="H538" s="41">
        <f>88.5-40-26.8</f>
        <v>21.7</v>
      </c>
      <c r="I538" s="41">
        <v>21.7</v>
      </c>
      <c r="J538" s="93">
        <f t="shared" si="186"/>
        <v>100</v>
      </c>
    </row>
    <row r="539" spans="1:10" s="37" customFormat="1" ht="39.6" x14ac:dyDescent="0.3">
      <c r="A539" s="27"/>
      <c r="B539" s="70"/>
      <c r="C539" s="16" t="s">
        <v>103</v>
      </c>
      <c r="D539" s="16" t="s">
        <v>98</v>
      </c>
      <c r="E539" s="57" t="s">
        <v>545</v>
      </c>
      <c r="F539" s="82" t="s">
        <v>205</v>
      </c>
      <c r="G539" s="97" t="s">
        <v>206</v>
      </c>
      <c r="H539" s="41">
        <f>94.9-6.2+30</f>
        <v>118.7</v>
      </c>
      <c r="I539" s="41">
        <v>118.7</v>
      </c>
      <c r="J539" s="93">
        <f t="shared" si="186"/>
        <v>100</v>
      </c>
    </row>
    <row r="540" spans="1:10" s="37" customFormat="1" ht="28.5" customHeight="1" x14ac:dyDescent="0.3">
      <c r="A540" s="27"/>
      <c r="B540" s="70"/>
      <c r="C540" s="16" t="s">
        <v>103</v>
      </c>
      <c r="D540" s="16" t="s">
        <v>98</v>
      </c>
      <c r="E540" s="52" t="s">
        <v>423</v>
      </c>
      <c r="F540" s="82"/>
      <c r="G540" s="46" t="s">
        <v>422</v>
      </c>
      <c r="H540" s="41">
        <f>H541+H546+H549+H559</f>
        <v>1309.8999999999999</v>
      </c>
      <c r="I540" s="41">
        <f t="shared" ref="I540" si="199">I541+I546+I549+I559</f>
        <v>1309.8999999999999</v>
      </c>
      <c r="J540" s="58">
        <f t="shared" si="186"/>
        <v>100</v>
      </c>
    </row>
    <row r="541" spans="1:10" s="37" customFormat="1" ht="27" x14ac:dyDescent="0.3">
      <c r="A541" s="27"/>
      <c r="B541" s="70"/>
      <c r="C541" s="16" t="s">
        <v>103</v>
      </c>
      <c r="D541" s="16" t="s">
        <v>98</v>
      </c>
      <c r="E541" s="21" t="s">
        <v>424</v>
      </c>
      <c r="F541" s="21"/>
      <c r="G541" s="96" t="s">
        <v>460</v>
      </c>
      <c r="H541" s="41">
        <f>H542+H544</f>
        <v>235.10000000000002</v>
      </c>
      <c r="I541" s="41">
        <f t="shared" ref="I541" si="200">I542+I544</f>
        <v>235.1</v>
      </c>
      <c r="J541" s="93">
        <f t="shared" si="186"/>
        <v>100</v>
      </c>
    </row>
    <row r="542" spans="1:10" s="37" customFormat="1" ht="40.5" customHeight="1" x14ac:dyDescent="0.3">
      <c r="A542" s="27"/>
      <c r="B542" s="70"/>
      <c r="C542" s="16" t="s">
        <v>103</v>
      </c>
      <c r="D542" s="16" t="s">
        <v>98</v>
      </c>
      <c r="E542" s="21" t="s">
        <v>546</v>
      </c>
      <c r="F542" s="16"/>
      <c r="G542" s="96" t="s">
        <v>425</v>
      </c>
      <c r="H542" s="39">
        <f>H543</f>
        <v>105.00000000000001</v>
      </c>
      <c r="I542" s="39">
        <f>I543</f>
        <v>105</v>
      </c>
      <c r="J542" s="93">
        <f t="shared" si="186"/>
        <v>100</v>
      </c>
    </row>
    <row r="543" spans="1:10" s="37" customFormat="1" ht="14.4" x14ac:dyDescent="0.3">
      <c r="A543" s="27"/>
      <c r="B543" s="70"/>
      <c r="C543" s="16" t="s">
        <v>103</v>
      </c>
      <c r="D543" s="16" t="s">
        <v>98</v>
      </c>
      <c r="E543" s="21" t="s">
        <v>546</v>
      </c>
      <c r="F543" s="82" t="s">
        <v>353</v>
      </c>
      <c r="G543" s="97" t="s">
        <v>354</v>
      </c>
      <c r="H543" s="41">
        <f>134.3-29.3</f>
        <v>105.00000000000001</v>
      </c>
      <c r="I543" s="41">
        <v>105</v>
      </c>
      <c r="J543" s="93">
        <f t="shared" si="186"/>
        <v>100</v>
      </c>
    </row>
    <row r="544" spans="1:10" s="37" customFormat="1" ht="39.6" x14ac:dyDescent="0.3">
      <c r="A544" s="27"/>
      <c r="B544" s="70"/>
      <c r="C544" s="16" t="s">
        <v>103</v>
      </c>
      <c r="D544" s="16" t="s">
        <v>98</v>
      </c>
      <c r="E544" s="57" t="s">
        <v>547</v>
      </c>
      <c r="F544" s="16"/>
      <c r="G544" s="97" t="s">
        <v>50</v>
      </c>
      <c r="H544" s="41">
        <f>H545</f>
        <v>130.1</v>
      </c>
      <c r="I544" s="41">
        <f>I545</f>
        <v>130.1</v>
      </c>
      <c r="J544" s="93">
        <f t="shared" si="186"/>
        <v>100</v>
      </c>
    </row>
    <row r="545" spans="1:10" s="37" customFormat="1" ht="39.6" x14ac:dyDescent="0.3">
      <c r="A545" s="27"/>
      <c r="B545" s="70"/>
      <c r="C545" s="16" t="s">
        <v>103</v>
      </c>
      <c r="D545" s="16" t="s">
        <v>98</v>
      </c>
      <c r="E545" s="57" t="s">
        <v>547</v>
      </c>
      <c r="F545" s="82" t="s">
        <v>205</v>
      </c>
      <c r="G545" s="97" t="s">
        <v>206</v>
      </c>
      <c r="H545" s="41">
        <f>123.9+6.2</f>
        <v>130.1</v>
      </c>
      <c r="I545" s="41">
        <v>130.1</v>
      </c>
      <c r="J545" s="93">
        <f t="shared" si="186"/>
        <v>100</v>
      </c>
    </row>
    <row r="546" spans="1:10" s="37" customFormat="1" ht="40.200000000000003" x14ac:dyDescent="0.3">
      <c r="A546" s="27"/>
      <c r="B546" s="70"/>
      <c r="C546" s="16" t="s">
        <v>103</v>
      </c>
      <c r="D546" s="16" t="s">
        <v>98</v>
      </c>
      <c r="E546" s="21" t="s">
        <v>427</v>
      </c>
      <c r="F546" s="21"/>
      <c r="G546" s="96" t="s">
        <v>428</v>
      </c>
      <c r="H546" s="39">
        <f>H547</f>
        <v>37.499999999999993</v>
      </c>
      <c r="I546" s="39">
        <f t="shared" ref="I546" si="201">I547</f>
        <v>37.5</v>
      </c>
      <c r="J546" s="93">
        <f t="shared" si="186"/>
        <v>100</v>
      </c>
    </row>
    <row r="547" spans="1:10" s="37" customFormat="1" ht="39.6" x14ac:dyDescent="0.3">
      <c r="A547" s="27"/>
      <c r="B547" s="70"/>
      <c r="C547" s="16" t="s">
        <v>103</v>
      </c>
      <c r="D547" s="16" t="s">
        <v>98</v>
      </c>
      <c r="E547" s="57" t="s">
        <v>544</v>
      </c>
      <c r="F547" s="16"/>
      <c r="G547" s="54" t="s">
        <v>502</v>
      </c>
      <c r="H547" s="93">
        <f>H548</f>
        <v>37.499999999999993</v>
      </c>
      <c r="I547" s="93">
        <f>I548</f>
        <v>37.5</v>
      </c>
      <c r="J547" s="93">
        <f t="shared" si="186"/>
        <v>100</v>
      </c>
    </row>
    <row r="548" spans="1:10" s="37" customFormat="1" ht="14.4" x14ac:dyDescent="0.3">
      <c r="A548" s="27"/>
      <c r="B548" s="70"/>
      <c r="C548" s="16" t="s">
        <v>103</v>
      </c>
      <c r="D548" s="16" t="s">
        <v>98</v>
      </c>
      <c r="E548" s="57" t="s">
        <v>544</v>
      </c>
      <c r="F548" s="21" t="s">
        <v>219</v>
      </c>
      <c r="G548" s="97" t="s">
        <v>218</v>
      </c>
      <c r="H548" s="93">
        <f>71.1-15.1-18.5</f>
        <v>37.499999999999993</v>
      </c>
      <c r="I548" s="93">
        <v>37.5</v>
      </c>
      <c r="J548" s="93">
        <f t="shared" si="186"/>
        <v>100</v>
      </c>
    </row>
    <row r="549" spans="1:10" s="37" customFormat="1" ht="40.200000000000003" x14ac:dyDescent="0.3">
      <c r="A549" s="27"/>
      <c r="B549" s="70"/>
      <c r="C549" s="16" t="s">
        <v>103</v>
      </c>
      <c r="D549" s="16" t="s">
        <v>98</v>
      </c>
      <c r="E549" s="21" t="s">
        <v>429</v>
      </c>
      <c r="F549" s="21"/>
      <c r="G549" s="96" t="s">
        <v>430</v>
      </c>
      <c r="H549" s="41">
        <f>H550+H552+H555+H557</f>
        <v>910.5</v>
      </c>
      <c r="I549" s="41">
        <f>I550+I552+I555+I557</f>
        <v>910.5</v>
      </c>
      <c r="J549" s="93">
        <f t="shared" si="186"/>
        <v>100</v>
      </c>
    </row>
    <row r="550" spans="1:10" s="37" customFormat="1" ht="66" x14ac:dyDescent="0.3">
      <c r="A550" s="27"/>
      <c r="B550" s="70"/>
      <c r="C550" s="16" t="s">
        <v>103</v>
      </c>
      <c r="D550" s="16" t="s">
        <v>98</v>
      </c>
      <c r="E550" s="80">
        <v>140323020</v>
      </c>
      <c r="F550" s="82"/>
      <c r="G550" s="97" t="s">
        <v>131</v>
      </c>
      <c r="H550" s="41">
        <f>H551</f>
        <v>330.20000000000005</v>
      </c>
      <c r="I550" s="41">
        <f>I551</f>
        <v>330.2</v>
      </c>
      <c r="J550" s="93">
        <f t="shared" si="186"/>
        <v>100</v>
      </c>
    </row>
    <row r="551" spans="1:10" s="37" customFormat="1" ht="39.6" x14ac:dyDescent="0.3">
      <c r="A551" s="27"/>
      <c r="B551" s="70"/>
      <c r="C551" s="16" t="s">
        <v>103</v>
      </c>
      <c r="D551" s="16" t="s">
        <v>98</v>
      </c>
      <c r="E551" s="80">
        <v>140323020</v>
      </c>
      <c r="F551" s="82" t="s">
        <v>205</v>
      </c>
      <c r="G551" s="97" t="s">
        <v>206</v>
      </c>
      <c r="H551" s="41">
        <f>112+140.5+44.1+15.1+18.5</f>
        <v>330.20000000000005</v>
      </c>
      <c r="I551" s="41">
        <v>330.2</v>
      </c>
      <c r="J551" s="93">
        <f t="shared" si="186"/>
        <v>100</v>
      </c>
    </row>
    <row r="552" spans="1:10" s="37" customFormat="1" ht="80.25" customHeight="1" x14ac:dyDescent="0.3">
      <c r="A552" s="27"/>
      <c r="B552" s="70"/>
      <c r="C552" s="16" t="s">
        <v>103</v>
      </c>
      <c r="D552" s="16" t="s">
        <v>98</v>
      </c>
      <c r="E552" s="80">
        <v>140323025</v>
      </c>
      <c r="F552" s="82"/>
      <c r="G552" s="97" t="s">
        <v>431</v>
      </c>
      <c r="H552" s="41">
        <f>SUM(H553:H554)</f>
        <v>332.3</v>
      </c>
      <c r="I552" s="41">
        <f t="shared" ref="I552" si="202">SUM(I553:I554)</f>
        <v>332.3</v>
      </c>
      <c r="J552" s="93">
        <f t="shared" si="186"/>
        <v>100</v>
      </c>
    </row>
    <row r="553" spans="1:10" s="37" customFormat="1" ht="39.6" x14ac:dyDescent="0.3">
      <c r="A553" s="27"/>
      <c r="B553" s="70"/>
      <c r="C553" s="16" t="s">
        <v>103</v>
      </c>
      <c r="D553" s="16" t="s">
        <v>98</v>
      </c>
      <c r="E553" s="80">
        <v>140323025</v>
      </c>
      <c r="F553" s="82" t="s">
        <v>205</v>
      </c>
      <c r="G553" s="97" t="s">
        <v>206</v>
      </c>
      <c r="H553" s="41">
        <f>322.3-35-5+10</f>
        <v>292.3</v>
      </c>
      <c r="I553" s="41">
        <v>292.3</v>
      </c>
      <c r="J553" s="93">
        <f t="shared" si="186"/>
        <v>100</v>
      </c>
    </row>
    <row r="554" spans="1:10" s="37" customFormat="1" ht="14.4" x14ac:dyDescent="0.3">
      <c r="A554" s="27"/>
      <c r="B554" s="70"/>
      <c r="C554" s="16" t="s">
        <v>103</v>
      </c>
      <c r="D554" s="16" t="s">
        <v>98</v>
      </c>
      <c r="E554" s="80">
        <v>140323025</v>
      </c>
      <c r="F554" s="82" t="s">
        <v>635</v>
      </c>
      <c r="G554" s="97" t="s">
        <v>636</v>
      </c>
      <c r="H554" s="41">
        <f>35+5</f>
        <v>40</v>
      </c>
      <c r="I554" s="41">
        <f>35+5</f>
        <v>40</v>
      </c>
      <c r="J554" s="93">
        <f t="shared" si="186"/>
        <v>100</v>
      </c>
    </row>
    <row r="555" spans="1:10" s="37" customFormat="1" ht="53.25" customHeight="1" x14ac:dyDescent="0.3">
      <c r="A555" s="27"/>
      <c r="B555" s="70"/>
      <c r="C555" s="16" t="s">
        <v>103</v>
      </c>
      <c r="D555" s="16" t="s">
        <v>98</v>
      </c>
      <c r="E555" s="80" t="s">
        <v>432</v>
      </c>
      <c r="F555" s="82"/>
      <c r="G555" s="97" t="s">
        <v>433</v>
      </c>
      <c r="H555" s="41">
        <f>H556</f>
        <v>45.9</v>
      </c>
      <c r="I555" s="41">
        <f>I556</f>
        <v>45.9</v>
      </c>
      <c r="J555" s="93">
        <f t="shared" si="186"/>
        <v>100</v>
      </c>
    </row>
    <row r="556" spans="1:10" s="37" customFormat="1" ht="39.6" x14ac:dyDescent="0.3">
      <c r="A556" s="27"/>
      <c r="B556" s="70"/>
      <c r="C556" s="16" t="s">
        <v>103</v>
      </c>
      <c r="D556" s="16" t="s">
        <v>98</v>
      </c>
      <c r="E556" s="80" t="s">
        <v>432</v>
      </c>
      <c r="F556" s="82" t="s">
        <v>205</v>
      </c>
      <c r="G556" s="97" t="s">
        <v>206</v>
      </c>
      <c r="H556" s="41">
        <f>90-44.1</f>
        <v>45.9</v>
      </c>
      <c r="I556" s="41">
        <v>45.9</v>
      </c>
      <c r="J556" s="93">
        <f t="shared" si="186"/>
        <v>100</v>
      </c>
    </row>
    <row r="557" spans="1:10" s="37" customFormat="1" ht="39.6" x14ac:dyDescent="0.3">
      <c r="A557" s="27"/>
      <c r="B557" s="70"/>
      <c r="C557" s="16" t="s">
        <v>103</v>
      </c>
      <c r="D557" s="16" t="s">
        <v>98</v>
      </c>
      <c r="E557" s="80">
        <v>140311080</v>
      </c>
      <c r="F557" s="82"/>
      <c r="G557" s="97" t="s">
        <v>434</v>
      </c>
      <c r="H557" s="41">
        <f>H558</f>
        <v>202.1</v>
      </c>
      <c r="I557" s="41">
        <f>I558</f>
        <v>202.1</v>
      </c>
      <c r="J557" s="93">
        <f t="shared" si="186"/>
        <v>100</v>
      </c>
    </row>
    <row r="558" spans="1:10" s="37" customFormat="1" ht="39.6" x14ac:dyDescent="0.3">
      <c r="A558" s="27"/>
      <c r="B558" s="70"/>
      <c r="C558" s="16" t="s">
        <v>103</v>
      </c>
      <c r="D558" s="16" t="s">
        <v>98</v>
      </c>
      <c r="E558" s="80">
        <v>140311080</v>
      </c>
      <c r="F558" s="82" t="s">
        <v>205</v>
      </c>
      <c r="G558" s="97" t="s">
        <v>206</v>
      </c>
      <c r="H558" s="39">
        <v>202.1</v>
      </c>
      <c r="I558" s="39">
        <v>202.1</v>
      </c>
      <c r="J558" s="93">
        <f t="shared" si="186"/>
        <v>100</v>
      </c>
    </row>
    <row r="559" spans="1:10" s="37" customFormat="1" ht="26.4" x14ac:dyDescent="0.3">
      <c r="A559" s="27"/>
      <c r="B559" s="70"/>
      <c r="C559" s="16" t="s">
        <v>103</v>
      </c>
      <c r="D559" s="16" t="s">
        <v>98</v>
      </c>
      <c r="E559" s="21" t="s">
        <v>681</v>
      </c>
      <c r="F559" s="82"/>
      <c r="G559" s="157" t="s">
        <v>682</v>
      </c>
      <c r="H559" s="39">
        <f>H560</f>
        <v>126.8</v>
      </c>
      <c r="I559" s="39">
        <f t="shared" ref="I559" si="203">I560</f>
        <v>126.8</v>
      </c>
      <c r="J559" s="93">
        <f t="shared" ref="J559:J620" si="204">ROUND((I559/H559*100),1)</f>
        <v>100</v>
      </c>
    </row>
    <row r="560" spans="1:10" s="37" customFormat="1" ht="66.599999999999994" x14ac:dyDescent="0.3">
      <c r="A560" s="27"/>
      <c r="B560" s="70"/>
      <c r="C560" s="16" t="s">
        <v>103</v>
      </c>
      <c r="D560" s="16" t="s">
        <v>98</v>
      </c>
      <c r="E560" s="21" t="s">
        <v>679</v>
      </c>
      <c r="F560" s="82"/>
      <c r="G560" s="128" t="s">
        <v>680</v>
      </c>
      <c r="H560" s="39">
        <f>H561</f>
        <v>126.8</v>
      </c>
      <c r="I560" s="39">
        <f>I561</f>
        <v>126.8</v>
      </c>
      <c r="J560" s="93">
        <f t="shared" si="204"/>
        <v>100</v>
      </c>
    </row>
    <row r="561" spans="1:10" s="37" customFormat="1" ht="39.6" x14ac:dyDescent="0.3">
      <c r="A561" s="27"/>
      <c r="B561" s="70"/>
      <c r="C561" s="16" t="s">
        <v>103</v>
      </c>
      <c r="D561" s="16" t="s">
        <v>98</v>
      </c>
      <c r="E561" s="21" t="s">
        <v>679</v>
      </c>
      <c r="F561" s="82" t="s">
        <v>205</v>
      </c>
      <c r="G561" s="97" t="s">
        <v>206</v>
      </c>
      <c r="H561" s="39">
        <f>120+6.8</f>
        <v>126.8</v>
      </c>
      <c r="I561" s="39">
        <v>126.8</v>
      </c>
      <c r="J561" s="93">
        <f t="shared" si="204"/>
        <v>100</v>
      </c>
    </row>
    <row r="562" spans="1:10" s="37" customFormat="1" ht="14.4" x14ac:dyDescent="0.3">
      <c r="A562" s="27"/>
      <c r="B562" s="70"/>
      <c r="C562" s="16" t="s">
        <v>103</v>
      </c>
      <c r="D562" s="16" t="s">
        <v>98</v>
      </c>
      <c r="E562" s="52" t="s">
        <v>77</v>
      </c>
      <c r="F562" s="16"/>
      <c r="G562" s="66" t="s">
        <v>47</v>
      </c>
      <c r="H562" s="92">
        <f>H563+H566</f>
        <v>8681.7000000000007</v>
      </c>
      <c r="I562" s="92">
        <f t="shared" ref="I562" si="205">I563+I566</f>
        <v>8677.4</v>
      </c>
      <c r="J562" s="58">
        <f t="shared" si="204"/>
        <v>100</v>
      </c>
    </row>
    <row r="563" spans="1:10" s="37" customFormat="1" ht="66" x14ac:dyDescent="0.3">
      <c r="A563" s="27"/>
      <c r="B563" s="70"/>
      <c r="C563" s="16" t="s">
        <v>103</v>
      </c>
      <c r="D563" s="16" t="s">
        <v>98</v>
      </c>
      <c r="E563" s="80">
        <v>190022200</v>
      </c>
      <c r="F563" s="82"/>
      <c r="G563" s="97" t="s">
        <v>435</v>
      </c>
      <c r="H563" s="41">
        <f>SUM(H564:H565)</f>
        <v>8532.1</v>
      </c>
      <c r="I563" s="41">
        <f>SUM(I564:I565)</f>
        <v>8527.7999999999993</v>
      </c>
      <c r="J563" s="93">
        <f t="shared" si="204"/>
        <v>99.9</v>
      </c>
    </row>
    <row r="564" spans="1:10" s="37" customFormat="1" ht="39.6" x14ac:dyDescent="0.3">
      <c r="A564" s="27"/>
      <c r="B564" s="70"/>
      <c r="C564" s="16" t="s">
        <v>103</v>
      </c>
      <c r="D564" s="16" t="s">
        <v>98</v>
      </c>
      <c r="E564" s="80">
        <v>190022200</v>
      </c>
      <c r="F564" s="16" t="s">
        <v>63</v>
      </c>
      <c r="G564" s="55" t="s">
        <v>64</v>
      </c>
      <c r="H564" s="41">
        <f>4887.2+592.5+1638.9+711.9+248.5</f>
        <v>8079</v>
      </c>
      <c r="I564" s="41">
        <v>8079</v>
      </c>
      <c r="J564" s="93">
        <f t="shared" si="204"/>
        <v>100</v>
      </c>
    </row>
    <row r="565" spans="1:10" s="37" customFormat="1" ht="39.6" x14ac:dyDescent="0.3">
      <c r="A565" s="27"/>
      <c r="B565" s="70"/>
      <c r="C565" s="16" t="s">
        <v>103</v>
      </c>
      <c r="D565" s="16" t="s">
        <v>98</v>
      </c>
      <c r="E565" s="80">
        <v>190022200</v>
      </c>
      <c r="F565" s="82" t="s">
        <v>205</v>
      </c>
      <c r="G565" s="97" t="s">
        <v>206</v>
      </c>
      <c r="H565" s="41">
        <f>453.1</f>
        <v>453.1</v>
      </c>
      <c r="I565" s="41">
        <v>448.8</v>
      </c>
      <c r="J565" s="93">
        <f t="shared" si="204"/>
        <v>99.1</v>
      </c>
    </row>
    <row r="566" spans="1:10" s="37" customFormat="1" ht="79.8" x14ac:dyDescent="0.3">
      <c r="A566" s="27"/>
      <c r="B566" s="70"/>
      <c r="C566" s="16" t="s">
        <v>103</v>
      </c>
      <c r="D566" s="16" t="s">
        <v>98</v>
      </c>
      <c r="E566" s="80">
        <v>190055492</v>
      </c>
      <c r="F566" s="82"/>
      <c r="G566" s="172" t="s">
        <v>714</v>
      </c>
      <c r="H566" s="41">
        <f>H567</f>
        <v>149.6</v>
      </c>
      <c r="I566" s="41">
        <f t="shared" ref="I566" si="206">I567</f>
        <v>149.6</v>
      </c>
      <c r="J566" s="93">
        <f t="shared" si="204"/>
        <v>100</v>
      </c>
    </row>
    <row r="567" spans="1:10" s="37" customFormat="1" ht="40.200000000000003" x14ac:dyDescent="0.3">
      <c r="A567" s="27"/>
      <c r="B567" s="70"/>
      <c r="C567" s="16" t="s">
        <v>103</v>
      </c>
      <c r="D567" s="16" t="s">
        <v>98</v>
      </c>
      <c r="E567" s="80">
        <v>190055492</v>
      </c>
      <c r="F567" s="16" t="s">
        <v>63</v>
      </c>
      <c r="G567" s="172" t="s">
        <v>78</v>
      </c>
      <c r="H567" s="41">
        <v>149.6</v>
      </c>
      <c r="I567" s="41">
        <v>149.6</v>
      </c>
      <c r="J567" s="93">
        <f t="shared" si="204"/>
        <v>100</v>
      </c>
    </row>
    <row r="568" spans="1:10" ht="15.6" x14ac:dyDescent="0.3">
      <c r="A568" s="3"/>
      <c r="B568" s="90"/>
      <c r="C568" s="4" t="s">
        <v>109</v>
      </c>
      <c r="D568" s="3"/>
      <c r="E568" s="3"/>
      <c r="F568" s="3"/>
      <c r="G568" s="49" t="s">
        <v>110</v>
      </c>
      <c r="H568" s="91">
        <f>H569+H575</f>
        <v>14220.1</v>
      </c>
      <c r="I568" s="91">
        <f>I569+I575</f>
        <v>8987.9</v>
      </c>
      <c r="J568" s="186">
        <f t="shared" si="204"/>
        <v>63.2</v>
      </c>
    </row>
    <row r="569" spans="1:10" ht="15.6" x14ac:dyDescent="0.3">
      <c r="A569" s="3"/>
      <c r="B569" s="90"/>
      <c r="C569" s="35" t="s">
        <v>109</v>
      </c>
      <c r="D569" s="35" t="s">
        <v>92</v>
      </c>
      <c r="E569" s="35"/>
      <c r="F569" s="35"/>
      <c r="G569" s="45" t="s">
        <v>115</v>
      </c>
      <c r="H569" s="92">
        <f t="shared" ref="H569:I570" si="207">H570</f>
        <v>1152</v>
      </c>
      <c r="I569" s="92">
        <f t="shared" si="207"/>
        <v>969.7</v>
      </c>
      <c r="J569" s="42">
        <f t="shared" si="204"/>
        <v>84.2</v>
      </c>
    </row>
    <row r="570" spans="1:10" ht="79.8" x14ac:dyDescent="0.3">
      <c r="A570" s="3"/>
      <c r="B570" s="90"/>
      <c r="C570" s="82" t="s">
        <v>109</v>
      </c>
      <c r="D570" s="82" t="s">
        <v>92</v>
      </c>
      <c r="E570" s="21" t="s">
        <v>74</v>
      </c>
      <c r="F570" s="35"/>
      <c r="G570" s="64" t="s">
        <v>559</v>
      </c>
      <c r="H570" s="95">
        <f t="shared" si="207"/>
        <v>1152</v>
      </c>
      <c r="I570" s="95">
        <f t="shared" si="207"/>
        <v>969.7</v>
      </c>
      <c r="J570" s="62">
        <f t="shared" si="204"/>
        <v>84.2</v>
      </c>
    </row>
    <row r="571" spans="1:10" ht="27.75" customHeight="1" x14ac:dyDescent="0.3">
      <c r="A571" s="3"/>
      <c r="B571" s="90"/>
      <c r="C571" s="47" t="s">
        <v>109</v>
      </c>
      <c r="D571" s="47" t="s">
        <v>92</v>
      </c>
      <c r="E571" s="52" t="s">
        <v>423</v>
      </c>
      <c r="F571" s="82"/>
      <c r="G571" s="46" t="s">
        <v>422</v>
      </c>
      <c r="H571" s="41">
        <f t="shared" ref="H571:I573" si="208">H572</f>
        <v>1152</v>
      </c>
      <c r="I571" s="41">
        <f t="shared" si="208"/>
        <v>969.7</v>
      </c>
      <c r="J571" s="58">
        <f t="shared" si="204"/>
        <v>84.2</v>
      </c>
    </row>
    <row r="572" spans="1:10" ht="27" x14ac:dyDescent="0.3">
      <c r="A572" s="3"/>
      <c r="B572" s="90"/>
      <c r="C572" s="16" t="s">
        <v>109</v>
      </c>
      <c r="D572" s="16" t="s">
        <v>92</v>
      </c>
      <c r="E572" s="21" t="s">
        <v>424</v>
      </c>
      <c r="F572" s="21"/>
      <c r="G572" s="96" t="s">
        <v>460</v>
      </c>
      <c r="H572" s="41">
        <f t="shared" si="208"/>
        <v>1152</v>
      </c>
      <c r="I572" s="41">
        <f t="shared" si="208"/>
        <v>969.7</v>
      </c>
      <c r="J572" s="93">
        <f t="shared" si="204"/>
        <v>84.2</v>
      </c>
    </row>
    <row r="573" spans="1:10" ht="105.6" x14ac:dyDescent="0.3">
      <c r="A573" s="3"/>
      <c r="B573" s="90"/>
      <c r="C573" s="16" t="s">
        <v>109</v>
      </c>
      <c r="D573" s="16" t="s">
        <v>92</v>
      </c>
      <c r="E573" s="80">
        <v>140210560</v>
      </c>
      <c r="F573" s="82"/>
      <c r="G573" s="97" t="s">
        <v>177</v>
      </c>
      <c r="H573" s="41">
        <f t="shared" si="208"/>
        <v>1152</v>
      </c>
      <c r="I573" s="41">
        <f t="shared" si="208"/>
        <v>969.7</v>
      </c>
      <c r="J573" s="93">
        <f t="shared" si="204"/>
        <v>84.2</v>
      </c>
    </row>
    <row r="574" spans="1:10" ht="26.4" x14ac:dyDescent="0.3">
      <c r="A574" s="3"/>
      <c r="B574" s="90"/>
      <c r="C574" s="16" t="s">
        <v>109</v>
      </c>
      <c r="D574" s="16" t="s">
        <v>92</v>
      </c>
      <c r="E574" s="80">
        <v>140210560</v>
      </c>
      <c r="F574" s="82" t="s">
        <v>273</v>
      </c>
      <c r="G574" s="97" t="s">
        <v>274</v>
      </c>
      <c r="H574" s="39">
        <v>1152</v>
      </c>
      <c r="I574" s="39">
        <v>969.7</v>
      </c>
      <c r="J574" s="93">
        <f t="shared" si="204"/>
        <v>84.2</v>
      </c>
    </row>
    <row r="575" spans="1:10" ht="14.4" x14ac:dyDescent="0.3">
      <c r="A575" s="1"/>
      <c r="B575" s="25"/>
      <c r="C575" s="35" t="s">
        <v>109</v>
      </c>
      <c r="D575" s="35" t="s">
        <v>93</v>
      </c>
      <c r="E575" s="35"/>
      <c r="F575" s="38"/>
      <c r="G575" s="50" t="s">
        <v>13</v>
      </c>
      <c r="H575" s="42">
        <f t="shared" ref="H575:I578" si="209">H576</f>
        <v>13068.1</v>
      </c>
      <c r="I575" s="42">
        <f t="shared" si="209"/>
        <v>8018.2</v>
      </c>
      <c r="J575" s="42">
        <f t="shared" si="204"/>
        <v>61.4</v>
      </c>
    </row>
    <row r="576" spans="1:10" ht="79.8" x14ac:dyDescent="0.3">
      <c r="A576" s="1"/>
      <c r="B576" s="25"/>
      <c r="C576" s="16" t="s">
        <v>109</v>
      </c>
      <c r="D576" s="16" t="s">
        <v>93</v>
      </c>
      <c r="E576" s="21" t="s">
        <v>74</v>
      </c>
      <c r="F576" s="35"/>
      <c r="G576" s="64" t="s">
        <v>559</v>
      </c>
      <c r="H576" s="95">
        <f t="shared" si="209"/>
        <v>13068.1</v>
      </c>
      <c r="I576" s="95">
        <f t="shared" si="209"/>
        <v>8018.2</v>
      </c>
      <c r="J576" s="62">
        <f t="shared" si="204"/>
        <v>61.4</v>
      </c>
    </row>
    <row r="577" spans="1:10" ht="27" x14ac:dyDescent="0.3">
      <c r="A577" s="1"/>
      <c r="B577" s="25"/>
      <c r="C577" s="16" t="s">
        <v>109</v>
      </c>
      <c r="D577" s="16" t="s">
        <v>93</v>
      </c>
      <c r="E577" s="52" t="s">
        <v>75</v>
      </c>
      <c r="F577" s="35"/>
      <c r="G577" s="46" t="s">
        <v>384</v>
      </c>
      <c r="H577" s="92">
        <f t="shared" si="209"/>
        <v>13068.1</v>
      </c>
      <c r="I577" s="92">
        <f t="shared" si="209"/>
        <v>8018.2</v>
      </c>
      <c r="J577" s="58">
        <f t="shared" si="204"/>
        <v>61.4</v>
      </c>
    </row>
    <row r="578" spans="1:10" ht="26.4" x14ac:dyDescent="0.25">
      <c r="A578" s="1"/>
      <c r="B578" s="25"/>
      <c r="C578" s="16" t="s">
        <v>109</v>
      </c>
      <c r="D578" s="16" t="s">
        <v>93</v>
      </c>
      <c r="E578" s="21" t="s">
        <v>277</v>
      </c>
      <c r="F578" s="21"/>
      <c r="G578" s="96" t="s">
        <v>381</v>
      </c>
      <c r="H578" s="39">
        <f t="shared" si="209"/>
        <v>13068.1</v>
      </c>
      <c r="I578" s="39">
        <f t="shared" si="209"/>
        <v>8018.2</v>
      </c>
      <c r="J578" s="93">
        <f t="shared" si="204"/>
        <v>61.4</v>
      </c>
    </row>
    <row r="579" spans="1:10" ht="79.2" x14ac:dyDescent="0.25">
      <c r="A579" s="1"/>
      <c r="B579" s="25"/>
      <c r="C579" s="16" t="s">
        <v>109</v>
      </c>
      <c r="D579" s="16" t="s">
        <v>93</v>
      </c>
      <c r="E579" s="57" t="s">
        <v>383</v>
      </c>
      <c r="F579" s="21"/>
      <c r="G579" s="97" t="s">
        <v>382</v>
      </c>
      <c r="H579" s="93">
        <f>H580+H581</f>
        <v>13068.1</v>
      </c>
      <c r="I579" s="93">
        <f>I580+I581</f>
        <v>8018.2</v>
      </c>
      <c r="J579" s="93">
        <f t="shared" si="204"/>
        <v>61.4</v>
      </c>
    </row>
    <row r="580" spans="1:10" ht="39.6" x14ac:dyDescent="0.25">
      <c r="A580" s="1"/>
      <c r="B580" s="25"/>
      <c r="C580" s="16" t="s">
        <v>109</v>
      </c>
      <c r="D580" s="16" t="s">
        <v>93</v>
      </c>
      <c r="E580" s="57" t="s">
        <v>383</v>
      </c>
      <c r="F580" s="82" t="s">
        <v>205</v>
      </c>
      <c r="G580" s="97" t="s">
        <v>206</v>
      </c>
      <c r="H580" s="93">
        <v>330</v>
      </c>
      <c r="I580" s="93">
        <v>192.4</v>
      </c>
      <c r="J580" s="93">
        <f t="shared" si="204"/>
        <v>58.3</v>
      </c>
    </row>
    <row r="581" spans="1:10" ht="39.6" x14ac:dyDescent="0.25">
      <c r="A581" s="1"/>
      <c r="B581" s="25"/>
      <c r="C581" s="16" t="s">
        <v>109</v>
      </c>
      <c r="D581" s="16" t="s">
        <v>93</v>
      </c>
      <c r="E581" s="57" t="s">
        <v>383</v>
      </c>
      <c r="F581" s="82" t="s">
        <v>256</v>
      </c>
      <c r="G581" s="97" t="s">
        <v>245</v>
      </c>
      <c r="H581" s="93">
        <v>12738.1</v>
      </c>
      <c r="I581" s="93">
        <v>7825.8</v>
      </c>
      <c r="J581" s="93">
        <f t="shared" si="204"/>
        <v>61.4</v>
      </c>
    </row>
    <row r="582" spans="1:10" s="8" customFormat="1" ht="87" x14ac:dyDescent="0.3">
      <c r="A582" s="3">
        <v>5</v>
      </c>
      <c r="B582" s="90">
        <v>938</v>
      </c>
      <c r="C582" s="13"/>
      <c r="D582" s="13"/>
      <c r="E582" s="13"/>
      <c r="F582" s="13"/>
      <c r="G582" s="14" t="s">
        <v>170</v>
      </c>
      <c r="H582" s="91">
        <f>H583+H590+H640+H686</f>
        <v>117775.4</v>
      </c>
      <c r="I582" s="91">
        <f>I583+I590+I640+I686</f>
        <v>117616.29999999999</v>
      </c>
      <c r="J582" s="186">
        <f t="shared" si="204"/>
        <v>99.9</v>
      </c>
    </row>
    <row r="583" spans="1:10" s="8" customFormat="1" ht="42" x14ac:dyDescent="0.3">
      <c r="A583" s="3"/>
      <c r="B583" s="90"/>
      <c r="C583" s="4" t="s">
        <v>92</v>
      </c>
      <c r="D583" s="3"/>
      <c r="E583" s="3"/>
      <c r="F583" s="3"/>
      <c r="G583" s="49" t="s">
        <v>97</v>
      </c>
      <c r="H583" s="91">
        <f>H584</f>
        <v>34</v>
      </c>
      <c r="I583" s="91">
        <f t="shared" ref="I583:I584" si="210">I584</f>
        <v>34</v>
      </c>
      <c r="J583" s="186">
        <f t="shared" si="204"/>
        <v>100</v>
      </c>
    </row>
    <row r="584" spans="1:10" s="8" customFormat="1" ht="40.200000000000003" x14ac:dyDescent="0.3">
      <c r="A584" s="3"/>
      <c r="B584" s="90"/>
      <c r="C584" s="28" t="s">
        <v>92</v>
      </c>
      <c r="D584" s="28" t="s">
        <v>120</v>
      </c>
      <c r="E584" s="28"/>
      <c r="F584" s="34"/>
      <c r="G584" s="46" t="s">
        <v>22</v>
      </c>
      <c r="H584" s="40">
        <f>H585</f>
        <v>34</v>
      </c>
      <c r="I584" s="40">
        <f t="shared" si="210"/>
        <v>34</v>
      </c>
      <c r="J584" s="42">
        <f t="shared" si="204"/>
        <v>100</v>
      </c>
    </row>
    <row r="585" spans="1:10" s="8" customFormat="1" ht="93" x14ac:dyDescent="0.3">
      <c r="A585" s="3"/>
      <c r="B585" s="90"/>
      <c r="C585" s="21" t="s">
        <v>92</v>
      </c>
      <c r="D585" s="21" t="s">
        <v>120</v>
      </c>
      <c r="E585" s="73" t="s">
        <v>72</v>
      </c>
      <c r="F585" s="16"/>
      <c r="G585" s="53" t="s">
        <v>569</v>
      </c>
      <c r="H585" s="95">
        <f t="shared" ref="H585:I588" si="211">H586</f>
        <v>34</v>
      </c>
      <c r="I585" s="95">
        <f t="shared" si="211"/>
        <v>34</v>
      </c>
      <c r="J585" s="62">
        <f t="shared" si="204"/>
        <v>100</v>
      </c>
    </row>
    <row r="586" spans="1:10" s="8" customFormat="1" ht="52.8" x14ac:dyDescent="0.3">
      <c r="A586" s="3"/>
      <c r="B586" s="90"/>
      <c r="C586" s="21" t="s">
        <v>92</v>
      </c>
      <c r="D586" s="21" t="s">
        <v>120</v>
      </c>
      <c r="E586" s="52" t="s">
        <v>73</v>
      </c>
      <c r="F586" s="16"/>
      <c r="G586" s="60" t="s">
        <v>182</v>
      </c>
      <c r="H586" s="58">
        <f t="shared" si="211"/>
        <v>34</v>
      </c>
      <c r="I586" s="58">
        <f t="shared" si="211"/>
        <v>34</v>
      </c>
      <c r="J586" s="58">
        <f t="shared" si="204"/>
        <v>100</v>
      </c>
    </row>
    <row r="587" spans="1:10" s="8" customFormat="1" ht="39.6" x14ac:dyDescent="0.3">
      <c r="A587" s="3"/>
      <c r="B587" s="90"/>
      <c r="C587" s="21" t="s">
        <v>92</v>
      </c>
      <c r="D587" s="21" t="s">
        <v>120</v>
      </c>
      <c r="E587" s="21" t="s">
        <v>220</v>
      </c>
      <c r="F587" s="82"/>
      <c r="G587" s="97" t="s">
        <v>335</v>
      </c>
      <c r="H587" s="41">
        <f t="shared" si="211"/>
        <v>34</v>
      </c>
      <c r="I587" s="41">
        <f t="shared" si="211"/>
        <v>34</v>
      </c>
      <c r="J587" s="93">
        <f t="shared" si="204"/>
        <v>100</v>
      </c>
    </row>
    <row r="588" spans="1:10" s="8" customFormat="1" ht="66" x14ac:dyDescent="0.3">
      <c r="A588" s="3"/>
      <c r="B588" s="90"/>
      <c r="C588" s="21" t="s">
        <v>92</v>
      </c>
      <c r="D588" s="21" t="s">
        <v>120</v>
      </c>
      <c r="E588" s="21" t="s">
        <v>503</v>
      </c>
      <c r="F588" s="16"/>
      <c r="G588" s="97" t="s">
        <v>336</v>
      </c>
      <c r="H588" s="41">
        <f t="shared" si="211"/>
        <v>34</v>
      </c>
      <c r="I588" s="41">
        <f t="shared" si="211"/>
        <v>34</v>
      </c>
      <c r="J588" s="93">
        <f t="shared" si="204"/>
        <v>100</v>
      </c>
    </row>
    <row r="589" spans="1:10" s="8" customFormat="1" ht="26.4" x14ac:dyDescent="0.3">
      <c r="A589" s="3"/>
      <c r="B589" s="90"/>
      <c r="C589" s="21" t="s">
        <v>92</v>
      </c>
      <c r="D589" s="21" t="s">
        <v>120</v>
      </c>
      <c r="E589" s="21" t="s">
        <v>503</v>
      </c>
      <c r="F589" s="82" t="s">
        <v>65</v>
      </c>
      <c r="G589" s="55" t="s">
        <v>128</v>
      </c>
      <c r="H589" s="41">
        <v>34</v>
      </c>
      <c r="I589" s="41">
        <v>34</v>
      </c>
      <c r="J589" s="93">
        <f t="shared" si="204"/>
        <v>100</v>
      </c>
    </row>
    <row r="590" spans="1:10" ht="15.6" x14ac:dyDescent="0.3">
      <c r="A590" s="3"/>
      <c r="B590" s="90"/>
      <c r="C590" s="4" t="s">
        <v>103</v>
      </c>
      <c r="D590" s="3"/>
      <c r="E590" s="3"/>
      <c r="F590" s="3"/>
      <c r="G590" s="49" t="s">
        <v>104</v>
      </c>
      <c r="H590" s="91">
        <f>H591+H611</f>
        <v>26916</v>
      </c>
      <c r="I590" s="91">
        <f>I591+I611</f>
        <v>26915.9</v>
      </c>
      <c r="J590" s="186">
        <f t="shared" si="204"/>
        <v>100</v>
      </c>
    </row>
    <row r="591" spans="1:10" s="37" customFormat="1" ht="14.4" x14ac:dyDescent="0.3">
      <c r="A591" s="27"/>
      <c r="B591" s="70"/>
      <c r="C591" s="35" t="s">
        <v>103</v>
      </c>
      <c r="D591" s="35" t="s">
        <v>92</v>
      </c>
      <c r="E591" s="35"/>
      <c r="F591" s="35"/>
      <c r="G591" s="45" t="s">
        <v>151</v>
      </c>
      <c r="H591" s="42">
        <f>H592+H608</f>
        <v>16101.7</v>
      </c>
      <c r="I591" s="42">
        <f>I592+I608</f>
        <v>16101.599999999999</v>
      </c>
      <c r="J591" s="42">
        <f t="shared" si="204"/>
        <v>100</v>
      </c>
    </row>
    <row r="592" spans="1:10" s="37" customFormat="1" ht="93" x14ac:dyDescent="0.3">
      <c r="A592" s="27"/>
      <c r="B592" s="70"/>
      <c r="C592" s="16" t="s">
        <v>103</v>
      </c>
      <c r="D592" s="82" t="s">
        <v>92</v>
      </c>
      <c r="E592" s="73" t="s">
        <v>60</v>
      </c>
      <c r="F592" s="35"/>
      <c r="G592" s="53" t="s">
        <v>560</v>
      </c>
      <c r="H592" s="65">
        <f t="shared" ref="H592:I592" si="212">H593</f>
        <v>15906.7</v>
      </c>
      <c r="I592" s="65">
        <f t="shared" si="212"/>
        <v>15906.599999999999</v>
      </c>
      <c r="J592" s="62">
        <f t="shared" si="204"/>
        <v>100</v>
      </c>
    </row>
    <row r="593" spans="1:10" s="37" customFormat="1" ht="27" x14ac:dyDescent="0.3">
      <c r="A593" s="27"/>
      <c r="B593" s="70"/>
      <c r="C593" s="16" t="s">
        <v>103</v>
      </c>
      <c r="D593" s="82" t="s">
        <v>92</v>
      </c>
      <c r="E593" s="52" t="s">
        <v>61</v>
      </c>
      <c r="F593" s="35"/>
      <c r="G593" s="48" t="s">
        <v>166</v>
      </c>
      <c r="H593" s="58">
        <f>H594+H605</f>
        <v>15906.7</v>
      </c>
      <c r="I593" s="58">
        <f t="shared" ref="I593" si="213">I594+I605</f>
        <v>15906.599999999999</v>
      </c>
      <c r="J593" s="58">
        <f t="shared" si="204"/>
        <v>100</v>
      </c>
    </row>
    <row r="594" spans="1:10" s="37" customFormat="1" ht="26.4" x14ac:dyDescent="0.3">
      <c r="A594" s="27"/>
      <c r="B594" s="70"/>
      <c r="C594" s="16" t="s">
        <v>103</v>
      </c>
      <c r="D594" s="82" t="s">
        <v>92</v>
      </c>
      <c r="E594" s="21" t="s">
        <v>248</v>
      </c>
      <c r="F594" s="21"/>
      <c r="G594" s="100" t="s">
        <v>437</v>
      </c>
      <c r="H594" s="39">
        <f>H595+H597+H599+H601+H603</f>
        <v>15669.5</v>
      </c>
      <c r="I594" s="39">
        <f t="shared" ref="I594" si="214">I595+I597+I599+I601+I603</f>
        <v>15669.399999999998</v>
      </c>
      <c r="J594" s="93">
        <f t="shared" si="204"/>
        <v>100</v>
      </c>
    </row>
    <row r="595" spans="1:10" s="20" customFormat="1" ht="25.5" customHeight="1" x14ac:dyDescent="0.25">
      <c r="A595" s="18"/>
      <c r="B595" s="71"/>
      <c r="C595" s="16" t="s">
        <v>103</v>
      </c>
      <c r="D595" s="82" t="s">
        <v>92</v>
      </c>
      <c r="E595" s="74">
        <v>210221100</v>
      </c>
      <c r="F595" s="16"/>
      <c r="G595" s="98" t="s">
        <v>168</v>
      </c>
      <c r="H595" s="39">
        <f>H596</f>
        <v>10757.400000000001</v>
      </c>
      <c r="I595" s="39">
        <f>I596</f>
        <v>10757.4</v>
      </c>
      <c r="J595" s="93">
        <f t="shared" si="204"/>
        <v>100</v>
      </c>
    </row>
    <row r="596" spans="1:10" x14ac:dyDescent="0.25">
      <c r="A596" s="1"/>
      <c r="B596" s="25"/>
      <c r="C596" s="16" t="s">
        <v>103</v>
      </c>
      <c r="D596" s="82" t="s">
        <v>92</v>
      </c>
      <c r="E596" s="74">
        <v>210221100</v>
      </c>
      <c r="F596" s="21" t="s">
        <v>219</v>
      </c>
      <c r="G596" s="97" t="s">
        <v>218</v>
      </c>
      <c r="H596" s="1">
        <f>10427.2-6.1+236+111.5-10.4-0.8</f>
        <v>10757.400000000001</v>
      </c>
      <c r="I596" s="1">
        <v>10757.4</v>
      </c>
      <c r="J596" s="93">
        <f t="shared" si="204"/>
        <v>100</v>
      </c>
    </row>
    <row r="597" spans="1:10" ht="79.2" x14ac:dyDescent="0.25">
      <c r="A597" s="1"/>
      <c r="B597" s="25"/>
      <c r="C597" s="16" t="s">
        <v>103</v>
      </c>
      <c r="D597" s="82" t="s">
        <v>92</v>
      </c>
      <c r="E597" s="74">
        <v>210210690</v>
      </c>
      <c r="F597" s="21"/>
      <c r="G597" s="97" t="s">
        <v>311</v>
      </c>
      <c r="H597" s="39">
        <f>H598</f>
        <v>4781.3999999999996</v>
      </c>
      <c r="I597" s="39">
        <f>I598</f>
        <v>4781.3999999999996</v>
      </c>
      <c r="J597" s="93">
        <f t="shared" si="204"/>
        <v>100</v>
      </c>
    </row>
    <row r="598" spans="1:10" x14ac:dyDescent="0.25">
      <c r="A598" s="1"/>
      <c r="B598" s="25"/>
      <c r="C598" s="16" t="s">
        <v>103</v>
      </c>
      <c r="D598" s="82" t="s">
        <v>92</v>
      </c>
      <c r="E598" s="74">
        <v>210210690</v>
      </c>
      <c r="F598" s="21" t="s">
        <v>219</v>
      </c>
      <c r="G598" s="97" t="s">
        <v>218</v>
      </c>
      <c r="H598" s="130">
        <f>3753.9+1027.5</f>
        <v>4781.3999999999996</v>
      </c>
      <c r="I598" s="39">
        <v>4781.3999999999996</v>
      </c>
      <c r="J598" s="93">
        <f t="shared" si="204"/>
        <v>100</v>
      </c>
    </row>
    <row r="599" spans="1:10" ht="66" x14ac:dyDescent="0.25">
      <c r="A599" s="1"/>
      <c r="B599" s="25"/>
      <c r="C599" s="16" t="s">
        <v>103</v>
      </c>
      <c r="D599" s="82" t="s">
        <v>92</v>
      </c>
      <c r="E599" s="74" t="s">
        <v>438</v>
      </c>
      <c r="F599" s="82"/>
      <c r="G599" s="97" t="s">
        <v>312</v>
      </c>
      <c r="H599" s="39">
        <f>SUM(H600:H600)</f>
        <v>48.3</v>
      </c>
      <c r="I599" s="39">
        <f>SUM(I600:I600)</f>
        <v>48.3</v>
      </c>
      <c r="J599" s="93">
        <f t="shared" si="204"/>
        <v>100</v>
      </c>
    </row>
    <row r="600" spans="1:10" x14ac:dyDescent="0.25">
      <c r="A600" s="1"/>
      <c r="B600" s="25"/>
      <c r="C600" s="16" t="s">
        <v>103</v>
      </c>
      <c r="D600" s="82" t="s">
        <v>92</v>
      </c>
      <c r="E600" s="74" t="s">
        <v>438</v>
      </c>
      <c r="F600" s="21" t="s">
        <v>219</v>
      </c>
      <c r="G600" s="97" t="s">
        <v>218</v>
      </c>
      <c r="H600" s="39">
        <f>31.8+6.1+10.4</f>
        <v>48.3</v>
      </c>
      <c r="I600" s="39">
        <v>48.3</v>
      </c>
      <c r="J600" s="93">
        <f t="shared" si="204"/>
        <v>100</v>
      </c>
    </row>
    <row r="601" spans="1:10" ht="66" x14ac:dyDescent="0.25">
      <c r="A601" s="1"/>
      <c r="B601" s="25"/>
      <c r="C601" s="16" t="s">
        <v>103</v>
      </c>
      <c r="D601" s="82" t="s">
        <v>92</v>
      </c>
      <c r="E601" s="74">
        <v>210211390</v>
      </c>
      <c r="F601" s="161"/>
      <c r="G601" s="165" t="s">
        <v>711</v>
      </c>
      <c r="H601" s="162">
        <f>H602</f>
        <v>81.599999999999994</v>
      </c>
      <c r="I601" s="39">
        <f t="shared" ref="I601" si="215">I602</f>
        <v>81.5</v>
      </c>
      <c r="J601" s="93">
        <f t="shared" si="204"/>
        <v>99.9</v>
      </c>
    </row>
    <row r="602" spans="1:10" x14ac:dyDescent="0.25">
      <c r="A602" s="1"/>
      <c r="B602" s="25"/>
      <c r="C602" s="82" t="s">
        <v>103</v>
      </c>
      <c r="D602" s="82" t="s">
        <v>92</v>
      </c>
      <c r="E602" s="74">
        <v>210211390</v>
      </c>
      <c r="F602" s="21" t="s">
        <v>219</v>
      </c>
      <c r="G602" s="164" t="s">
        <v>218</v>
      </c>
      <c r="H602" s="39">
        <v>81.599999999999994</v>
      </c>
      <c r="I602" s="39">
        <v>81.5</v>
      </c>
      <c r="J602" s="93">
        <f t="shared" si="204"/>
        <v>99.9</v>
      </c>
    </row>
    <row r="603" spans="1:10" ht="79.2" x14ac:dyDescent="0.25">
      <c r="A603" s="1"/>
      <c r="B603" s="25"/>
      <c r="C603" s="16" t="s">
        <v>103</v>
      </c>
      <c r="D603" s="82" t="s">
        <v>92</v>
      </c>
      <c r="E603" s="74" t="s">
        <v>712</v>
      </c>
      <c r="F603" s="21"/>
      <c r="G603" s="107" t="s">
        <v>713</v>
      </c>
      <c r="H603" s="39">
        <f>H604</f>
        <v>0.8</v>
      </c>
      <c r="I603" s="39">
        <f t="shared" ref="I603" si="216">I604</f>
        <v>0.8</v>
      </c>
      <c r="J603" s="93">
        <f t="shared" si="204"/>
        <v>100</v>
      </c>
    </row>
    <row r="604" spans="1:10" x14ac:dyDescent="0.25">
      <c r="A604" s="1"/>
      <c r="B604" s="25"/>
      <c r="C604" s="82" t="s">
        <v>103</v>
      </c>
      <c r="D604" s="82" t="s">
        <v>92</v>
      </c>
      <c r="E604" s="74" t="s">
        <v>712</v>
      </c>
      <c r="F604" s="21" t="s">
        <v>219</v>
      </c>
      <c r="G604" s="97" t="s">
        <v>218</v>
      </c>
      <c r="H604" s="39">
        <v>0.8</v>
      </c>
      <c r="I604" s="39">
        <v>0.8</v>
      </c>
      <c r="J604" s="93">
        <f t="shared" si="204"/>
        <v>100</v>
      </c>
    </row>
    <row r="605" spans="1:10" ht="42" customHeight="1" x14ac:dyDescent="0.25">
      <c r="A605" s="1"/>
      <c r="B605" s="25"/>
      <c r="C605" s="16" t="s">
        <v>103</v>
      </c>
      <c r="D605" s="82" t="s">
        <v>92</v>
      </c>
      <c r="E605" s="21" t="s">
        <v>613</v>
      </c>
      <c r="F605" s="82"/>
      <c r="G605" s="100" t="s">
        <v>614</v>
      </c>
      <c r="H605" s="41">
        <f>H606</f>
        <v>237.2</v>
      </c>
      <c r="I605" s="41">
        <f t="shared" ref="I605:I606" si="217">I606</f>
        <v>237.2</v>
      </c>
      <c r="J605" s="93">
        <f t="shared" si="204"/>
        <v>100</v>
      </c>
    </row>
    <row r="606" spans="1:10" ht="26.4" x14ac:dyDescent="0.25">
      <c r="A606" s="1"/>
      <c r="B606" s="25"/>
      <c r="C606" s="16" t="s">
        <v>103</v>
      </c>
      <c r="D606" s="82" t="s">
        <v>92</v>
      </c>
      <c r="E606" s="21" t="s">
        <v>637</v>
      </c>
      <c r="F606" s="82"/>
      <c r="G606" s="97" t="s">
        <v>611</v>
      </c>
      <c r="H606" s="41">
        <f>H607</f>
        <v>237.2</v>
      </c>
      <c r="I606" s="41">
        <f t="shared" si="217"/>
        <v>237.2</v>
      </c>
      <c r="J606" s="93">
        <f t="shared" si="204"/>
        <v>100</v>
      </c>
    </row>
    <row r="607" spans="1:10" x14ac:dyDescent="0.25">
      <c r="A607" s="1"/>
      <c r="B607" s="25"/>
      <c r="C607" s="16" t="s">
        <v>103</v>
      </c>
      <c r="D607" s="82" t="s">
        <v>92</v>
      </c>
      <c r="E607" s="21" t="s">
        <v>637</v>
      </c>
      <c r="F607" s="21" t="s">
        <v>219</v>
      </c>
      <c r="G607" s="97" t="s">
        <v>218</v>
      </c>
      <c r="H607" s="41">
        <v>237.2</v>
      </c>
      <c r="I607" s="41">
        <v>237.2</v>
      </c>
      <c r="J607" s="93">
        <f t="shared" si="204"/>
        <v>100</v>
      </c>
    </row>
    <row r="608" spans="1:10" ht="39.6" x14ac:dyDescent="0.25">
      <c r="A608" s="1"/>
      <c r="B608" s="25"/>
      <c r="C608" s="82" t="s">
        <v>103</v>
      </c>
      <c r="D608" s="82" t="s">
        <v>92</v>
      </c>
      <c r="E608" s="82" t="s">
        <v>25</v>
      </c>
      <c r="F608" s="82"/>
      <c r="G608" s="98" t="s">
        <v>39</v>
      </c>
      <c r="H608" s="41">
        <f>H609</f>
        <v>195</v>
      </c>
      <c r="I608" s="41">
        <f t="shared" ref="I608" si="218">I609</f>
        <v>195</v>
      </c>
      <c r="J608" s="93">
        <f t="shared" si="204"/>
        <v>100</v>
      </c>
    </row>
    <row r="609" spans="1:10" ht="52.8" x14ac:dyDescent="0.25">
      <c r="A609" s="1"/>
      <c r="B609" s="25"/>
      <c r="C609" s="16" t="s">
        <v>103</v>
      </c>
      <c r="D609" s="82" t="s">
        <v>92</v>
      </c>
      <c r="E609" s="82" t="s">
        <v>556</v>
      </c>
      <c r="F609" s="16"/>
      <c r="G609" s="54" t="s">
        <v>554</v>
      </c>
      <c r="H609" s="41">
        <f>SUM(H610:H610)</f>
        <v>195</v>
      </c>
      <c r="I609" s="41">
        <f>SUM(I610:I610)</f>
        <v>195</v>
      </c>
      <c r="J609" s="93">
        <f t="shared" si="204"/>
        <v>100</v>
      </c>
    </row>
    <row r="610" spans="1:10" x14ac:dyDescent="0.25">
      <c r="A610" s="1"/>
      <c r="B610" s="25"/>
      <c r="C610" s="16" t="s">
        <v>103</v>
      </c>
      <c r="D610" s="82" t="s">
        <v>92</v>
      </c>
      <c r="E610" s="82" t="s">
        <v>556</v>
      </c>
      <c r="F610" s="21" t="s">
        <v>219</v>
      </c>
      <c r="G610" s="97" t="s">
        <v>218</v>
      </c>
      <c r="H610" s="39">
        <v>195</v>
      </c>
      <c r="I610" s="39">
        <v>195</v>
      </c>
      <c r="J610" s="93">
        <f t="shared" si="204"/>
        <v>100</v>
      </c>
    </row>
    <row r="611" spans="1:10" s="37" customFormat="1" ht="14.4" x14ac:dyDescent="0.3">
      <c r="A611" s="27"/>
      <c r="B611" s="70"/>
      <c r="C611" s="35" t="s">
        <v>103</v>
      </c>
      <c r="D611" s="35" t="s">
        <v>103</v>
      </c>
      <c r="E611" s="35"/>
      <c r="F611" s="35"/>
      <c r="G611" s="46" t="s">
        <v>150</v>
      </c>
      <c r="H611" s="42">
        <f>H612+H627</f>
        <v>10814.300000000001</v>
      </c>
      <c r="I611" s="42">
        <f>I612+I627</f>
        <v>10814.300000000001</v>
      </c>
      <c r="J611" s="42">
        <f t="shared" si="204"/>
        <v>100</v>
      </c>
    </row>
    <row r="612" spans="1:10" s="37" customFormat="1" ht="93" x14ac:dyDescent="0.3">
      <c r="A612" s="27"/>
      <c r="B612" s="70"/>
      <c r="C612" s="16" t="s">
        <v>103</v>
      </c>
      <c r="D612" s="16" t="s">
        <v>103</v>
      </c>
      <c r="E612" s="73" t="s">
        <v>60</v>
      </c>
      <c r="F612" s="35"/>
      <c r="G612" s="53" t="s">
        <v>560</v>
      </c>
      <c r="H612" s="65">
        <f>H613</f>
        <v>10604.300000000001</v>
      </c>
      <c r="I612" s="65">
        <f t="shared" ref="I612" si="219">I613</f>
        <v>10604.300000000001</v>
      </c>
      <c r="J612" s="62">
        <f t="shared" si="204"/>
        <v>100</v>
      </c>
    </row>
    <row r="613" spans="1:10" ht="26.4" x14ac:dyDescent="0.25">
      <c r="A613" s="1"/>
      <c r="B613" s="25"/>
      <c r="C613" s="16" t="s">
        <v>103</v>
      </c>
      <c r="D613" s="16" t="s">
        <v>103</v>
      </c>
      <c r="E613" s="52" t="s">
        <v>31</v>
      </c>
      <c r="F613" s="21"/>
      <c r="G613" s="48" t="s">
        <v>172</v>
      </c>
      <c r="H613" s="41">
        <f>H614+H621+H624</f>
        <v>10604.300000000001</v>
      </c>
      <c r="I613" s="41">
        <f>I614+I621+I624</f>
        <v>10604.300000000001</v>
      </c>
      <c r="J613" s="58">
        <f t="shared" si="204"/>
        <v>100</v>
      </c>
    </row>
    <row r="614" spans="1:10" ht="39.6" x14ac:dyDescent="0.25">
      <c r="A614" s="1"/>
      <c r="B614" s="25"/>
      <c r="C614" s="16" t="s">
        <v>103</v>
      </c>
      <c r="D614" s="16" t="s">
        <v>103</v>
      </c>
      <c r="E614" s="21" t="s">
        <v>203</v>
      </c>
      <c r="F614" s="16"/>
      <c r="G614" s="100" t="s">
        <v>303</v>
      </c>
      <c r="H614" s="41">
        <f>H615+H617+H619</f>
        <v>357.20000000000005</v>
      </c>
      <c r="I614" s="41">
        <f>I615+I617+I619</f>
        <v>357.20000000000005</v>
      </c>
      <c r="J614" s="93">
        <f t="shared" si="204"/>
        <v>100</v>
      </c>
    </row>
    <row r="615" spans="1:10" ht="52.8" x14ac:dyDescent="0.25">
      <c r="A615" s="1"/>
      <c r="B615" s="25"/>
      <c r="C615" s="16" t="s">
        <v>103</v>
      </c>
      <c r="D615" s="16" t="s">
        <v>103</v>
      </c>
      <c r="E615" s="133" t="s">
        <v>446</v>
      </c>
      <c r="F615" s="16"/>
      <c r="G615" s="99" t="s">
        <v>200</v>
      </c>
      <c r="H615" s="39">
        <f>H616</f>
        <v>6.6</v>
      </c>
      <c r="I615" s="39">
        <f>I616</f>
        <v>6.6</v>
      </c>
      <c r="J615" s="93">
        <f t="shared" si="204"/>
        <v>100</v>
      </c>
    </row>
    <row r="616" spans="1:10" ht="39.6" x14ac:dyDescent="0.25">
      <c r="A616" s="1"/>
      <c r="B616" s="25"/>
      <c r="C616" s="16" t="s">
        <v>103</v>
      </c>
      <c r="D616" s="16" t="s">
        <v>103</v>
      </c>
      <c r="E616" s="133" t="s">
        <v>446</v>
      </c>
      <c r="F616" s="82" t="s">
        <v>205</v>
      </c>
      <c r="G616" s="97" t="s">
        <v>206</v>
      </c>
      <c r="H616" s="41">
        <v>6.6</v>
      </c>
      <c r="I616" s="41">
        <v>6.6</v>
      </c>
      <c r="J616" s="93">
        <f t="shared" si="204"/>
        <v>100</v>
      </c>
    </row>
    <row r="617" spans="1:10" ht="26.4" x14ac:dyDescent="0.25">
      <c r="A617" s="1"/>
      <c r="B617" s="25"/>
      <c r="C617" s="16" t="s">
        <v>103</v>
      </c>
      <c r="D617" s="16" t="s">
        <v>103</v>
      </c>
      <c r="E617" s="133" t="s">
        <v>447</v>
      </c>
      <c r="F617" s="16"/>
      <c r="G617" s="97" t="s">
        <v>173</v>
      </c>
      <c r="H617" s="41">
        <f>H618</f>
        <v>300.60000000000002</v>
      </c>
      <c r="I617" s="41">
        <f>I618</f>
        <v>300.60000000000002</v>
      </c>
      <c r="J617" s="93">
        <f t="shared" si="204"/>
        <v>100</v>
      </c>
    </row>
    <row r="618" spans="1:10" ht="39.6" x14ac:dyDescent="0.25">
      <c r="A618" s="1"/>
      <c r="B618" s="25"/>
      <c r="C618" s="16" t="s">
        <v>103</v>
      </c>
      <c r="D618" s="16" t="s">
        <v>103</v>
      </c>
      <c r="E618" s="133" t="s">
        <v>447</v>
      </c>
      <c r="F618" s="82" t="s">
        <v>205</v>
      </c>
      <c r="G618" s="97" t="s">
        <v>206</v>
      </c>
      <c r="H618" s="41">
        <f>289.6-4+15</f>
        <v>300.60000000000002</v>
      </c>
      <c r="I618" s="41">
        <v>300.60000000000002</v>
      </c>
      <c r="J618" s="93">
        <f t="shared" si="204"/>
        <v>100</v>
      </c>
    </row>
    <row r="619" spans="1:10" x14ac:dyDescent="0.25">
      <c r="A619" s="1"/>
      <c r="B619" s="25"/>
      <c r="C619" s="16" t="s">
        <v>103</v>
      </c>
      <c r="D619" s="16" t="s">
        <v>103</v>
      </c>
      <c r="E619" s="133" t="s">
        <v>448</v>
      </c>
      <c r="F619" s="82"/>
      <c r="G619" s="54" t="s">
        <v>370</v>
      </c>
      <c r="H619" s="41">
        <f>H620</f>
        <v>50</v>
      </c>
      <c r="I619" s="41">
        <f>I620</f>
        <v>50</v>
      </c>
      <c r="J619" s="93">
        <f t="shared" si="204"/>
        <v>100</v>
      </c>
    </row>
    <row r="620" spans="1:10" ht="39.6" x14ac:dyDescent="0.25">
      <c r="A620" s="1"/>
      <c r="B620" s="25"/>
      <c r="C620" s="16" t="s">
        <v>103</v>
      </c>
      <c r="D620" s="16" t="s">
        <v>103</v>
      </c>
      <c r="E620" s="133" t="s">
        <v>448</v>
      </c>
      <c r="F620" s="82" t="s">
        <v>205</v>
      </c>
      <c r="G620" s="97" t="s">
        <v>206</v>
      </c>
      <c r="H620" s="41">
        <v>50</v>
      </c>
      <c r="I620" s="41">
        <v>50</v>
      </c>
      <c r="J620" s="93">
        <f t="shared" si="204"/>
        <v>100</v>
      </c>
    </row>
    <row r="621" spans="1:10" ht="79.2" x14ac:dyDescent="0.25">
      <c r="A621" s="1"/>
      <c r="B621" s="25"/>
      <c r="C621" s="16" t="s">
        <v>103</v>
      </c>
      <c r="D621" s="16" t="s">
        <v>103</v>
      </c>
      <c r="E621" s="21" t="s">
        <v>254</v>
      </c>
      <c r="F621" s="16"/>
      <c r="G621" s="100" t="s">
        <v>255</v>
      </c>
      <c r="H621" s="41">
        <f t="shared" ref="H621:I622" si="220">H622</f>
        <v>8963.4</v>
      </c>
      <c r="I621" s="41">
        <f t="shared" si="220"/>
        <v>8963.4</v>
      </c>
      <c r="J621" s="93">
        <f t="shared" ref="J621:J686" si="221">ROUND((I621/H621*100),1)</f>
        <v>100</v>
      </c>
    </row>
    <row r="622" spans="1:10" ht="41.25" customHeight="1" x14ac:dyDescent="0.25">
      <c r="A622" s="1"/>
      <c r="B622" s="25"/>
      <c r="C622" s="16" t="s">
        <v>103</v>
      </c>
      <c r="D622" s="16" t="s">
        <v>103</v>
      </c>
      <c r="E622" s="74">
        <v>230221100</v>
      </c>
      <c r="F622" s="16"/>
      <c r="G622" s="97" t="s">
        <v>0</v>
      </c>
      <c r="H622" s="41">
        <f t="shared" si="220"/>
        <v>8963.4</v>
      </c>
      <c r="I622" s="41">
        <f t="shared" si="220"/>
        <v>8963.4</v>
      </c>
      <c r="J622" s="93">
        <f t="shared" si="221"/>
        <v>100</v>
      </c>
    </row>
    <row r="623" spans="1:10" x14ac:dyDescent="0.25">
      <c r="A623" s="1"/>
      <c r="B623" s="25"/>
      <c r="C623" s="16" t="s">
        <v>103</v>
      </c>
      <c r="D623" s="16" t="s">
        <v>103</v>
      </c>
      <c r="E623" s="74">
        <v>230221100</v>
      </c>
      <c r="F623" s="82" t="s">
        <v>219</v>
      </c>
      <c r="G623" s="97" t="s">
        <v>218</v>
      </c>
      <c r="H623" s="41">
        <f>8853.6+109.8</f>
        <v>8963.4</v>
      </c>
      <c r="I623" s="41">
        <v>8963.4</v>
      </c>
      <c r="J623" s="93">
        <f t="shared" si="221"/>
        <v>100</v>
      </c>
    </row>
    <row r="624" spans="1:10" ht="66" x14ac:dyDescent="0.25">
      <c r="A624" s="1"/>
      <c r="B624" s="25"/>
      <c r="C624" s="16" t="s">
        <v>103</v>
      </c>
      <c r="D624" s="16" t="s">
        <v>103</v>
      </c>
      <c r="E624" s="21" t="s">
        <v>451</v>
      </c>
      <c r="F624" s="82"/>
      <c r="G624" s="97" t="s">
        <v>450</v>
      </c>
      <c r="H624" s="41">
        <f t="shared" ref="H624:I625" si="222">H625</f>
        <v>1283.7</v>
      </c>
      <c r="I624" s="41">
        <f t="shared" si="222"/>
        <v>1283.7</v>
      </c>
      <c r="J624" s="93">
        <f t="shared" si="221"/>
        <v>100</v>
      </c>
    </row>
    <row r="625" spans="1:10" ht="56.25" customHeight="1" x14ac:dyDescent="0.25">
      <c r="A625" s="1"/>
      <c r="B625" s="25"/>
      <c r="C625" s="16" t="s">
        <v>103</v>
      </c>
      <c r="D625" s="16" t="s">
        <v>103</v>
      </c>
      <c r="E625" s="74">
        <v>230321210</v>
      </c>
      <c r="F625" s="82"/>
      <c r="G625" s="97" t="s">
        <v>449</v>
      </c>
      <c r="H625" s="41">
        <f t="shared" si="222"/>
        <v>1283.7</v>
      </c>
      <c r="I625" s="41">
        <f t="shared" si="222"/>
        <v>1283.7</v>
      </c>
      <c r="J625" s="93">
        <f t="shared" si="221"/>
        <v>100</v>
      </c>
    </row>
    <row r="626" spans="1:10" x14ac:dyDescent="0.25">
      <c r="A626" s="1"/>
      <c r="B626" s="25"/>
      <c r="C626" s="16" t="s">
        <v>103</v>
      </c>
      <c r="D626" s="16" t="s">
        <v>103</v>
      </c>
      <c r="E626" s="74">
        <v>230321210</v>
      </c>
      <c r="F626" s="21" t="s">
        <v>219</v>
      </c>
      <c r="G626" s="97" t="s">
        <v>218</v>
      </c>
      <c r="H626" s="41">
        <v>1283.7</v>
      </c>
      <c r="I626" s="41">
        <v>1283.7</v>
      </c>
      <c r="J626" s="93">
        <f t="shared" si="221"/>
        <v>100</v>
      </c>
    </row>
    <row r="627" spans="1:10" ht="92.4" x14ac:dyDescent="0.25">
      <c r="A627" s="1"/>
      <c r="B627" s="25"/>
      <c r="C627" s="5" t="s">
        <v>103</v>
      </c>
      <c r="D627" s="5" t="s">
        <v>103</v>
      </c>
      <c r="E627" s="73" t="s">
        <v>72</v>
      </c>
      <c r="F627" s="82"/>
      <c r="G627" s="53" t="s">
        <v>569</v>
      </c>
      <c r="H627" s="95">
        <f>H628</f>
        <v>210</v>
      </c>
      <c r="I627" s="95">
        <f t="shared" ref="I627" si="223">I628</f>
        <v>210</v>
      </c>
      <c r="J627" s="62">
        <f t="shared" si="221"/>
        <v>100</v>
      </c>
    </row>
    <row r="628" spans="1:10" ht="79.2" x14ac:dyDescent="0.25">
      <c r="A628" s="1"/>
      <c r="B628" s="25"/>
      <c r="C628" s="47" t="s">
        <v>103</v>
      </c>
      <c r="D628" s="47" t="s">
        <v>103</v>
      </c>
      <c r="E628" s="52" t="s">
        <v>504</v>
      </c>
      <c r="F628" s="16"/>
      <c r="G628" s="48" t="s">
        <v>174</v>
      </c>
      <c r="H628" s="92">
        <f>H629+H635</f>
        <v>210</v>
      </c>
      <c r="I628" s="92">
        <f t="shared" ref="I628" si="224">I629+I635</f>
        <v>210</v>
      </c>
      <c r="J628" s="58">
        <f t="shared" si="221"/>
        <v>100</v>
      </c>
    </row>
    <row r="629" spans="1:10" ht="52.8" x14ac:dyDescent="0.25">
      <c r="A629" s="1"/>
      <c r="B629" s="25"/>
      <c r="C629" s="16" t="s">
        <v>103</v>
      </c>
      <c r="D629" s="16" t="s">
        <v>103</v>
      </c>
      <c r="E629" s="21" t="s">
        <v>505</v>
      </c>
      <c r="F629" s="16"/>
      <c r="G629" s="98" t="s">
        <v>308</v>
      </c>
      <c r="H629" s="39">
        <f>H630+H632</f>
        <v>170</v>
      </c>
      <c r="I629" s="39">
        <f>I630+I632</f>
        <v>170</v>
      </c>
      <c r="J629" s="93">
        <f t="shared" si="221"/>
        <v>100</v>
      </c>
    </row>
    <row r="630" spans="1:10" ht="105.6" x14ac:dyDescent="0.25">
      <c r="A630" s="1"/>
      <c r="B630" s="25"/>
      <c r="C630" s="16" t="s">
        <v>103</v>
      </c>
      <c r="D630" s="16" t="s">
        <v>103</v>
      </c>
      <c r="E630" s="74">
        <v>1020123085</v>
      </c>
      <c r="F630" s="16"/>
      <c r="G630" s="97" t="s">
        <v>175</v>
      </c>
      <c r="H630" s="41">
        <f>H631</f>
        <v>5</v>
      </c>
      <c r="I630" s="41">
        <f>I631</f>
        <v>5</v>
      </c>
      <c r="J630" s="93">
        <f t="shared" si="221"/>
        <v>100</v>
      </c>
    </row>
    <row r="631" spans="1:10" ht="39.6" x14ac:dyDescent="0.25">
      <c r="A631" s="1"/>
      <c r="B631" s="25"/>
      <c r="C631" s="16" t="s">
        <v>103</v>
      </c>
      <c r="D631" s="16" t="s">
        <v>103</v>
      </c>
      <c r="E631" s="74">
        <v>1020123085</v>
      </c>
      <c r="F631" s="82" t="s">
        <v>205</v>
      </c>
      <c r="G631" s="97" t="s">
        <v>206</v>
      </c>
      <c r="H631" s="41">
        <v>5</v>
      </c>
      <c r="I631" s="41">
        <v>5</v>
      </c>
      <c r="J631" s="93">
        <f t="shared" si="221"/>
        <v>100</v>
      </c>
    </row>
    <row r="632" spans="1:10" x14ac:dyDescent="0.25">
      <c r="A632" s="1"/>
      <c r="B632" s="25"/>
      <c r="C632" s="16" t="s">
        <v>103</v>
      </c>
      <c r="D632" s="16" t="s">
        <v>103</v>
      </c>
      <c r="E632" s="74">
        <v>1020123086</v>
      </c>
      <c r="F632" s="16"/>
      <c r="G632" s="97" t="s">
        <v>176</v>
      </c>
      <c r="H632" s="41">
        <f>H633</f>
        <v>165</v>
      </c>
      <c r="I632" s="41">
        <f>I633</f>
        <v>165</v>
      </c>
      <c r="J632" s="93">
        <f t="shared" si="221"/>
        <v>100</v>
      </c>
    </row>
    <row r="633" spans="1:10" ht="39.6" x14ac:dyDescent="0.25">
      <c r="A633" s="1"/>
      <c r="B633" s="25"/>
      <c r="C633" s="16" t="s">
        <v>103</v>
      </c>
      <c r="D633" s="16" t="s">
        <v>103</v>
      </c>
      <c r="E633" s="74">
        <v>1020123086</v>
      </c>
      <c r="F633" s="82" t="s">
        <v>205</v>
      </c>
      <c r="G633" s="97" t="s">
        <v>206</v>
      </c>
      <c r="H633" s="41">
        <f>35+130</f>
        <v>165</v>
      </c>
      <c r="I633" s="41">
        <f>35+130</f>
        <v>165</v>
      </c>
      <c r="J633" s="93">
        <f t="shared" si="221"/>
        <v>100</v>
      </c>
    </row>
    <row r="634" spans="1:10" ht="52.8" x14ac:dyDescent="0.25">
      <c r="A634" s="1"/>
      <c r="B634" s="25"/>
      <c r="C634" s="47" t="s">
        <v>103</v>
      </c>
      <c r="D634" s="47" t="s">
        <v>103</v>
      </c>
      <c r="E634" s="52" t="s">
        <v>608</v>
      </c>
      <c r="F634" s="82"/>
      <c r="G634" s="97" t="s">
        <v>634</v>
      </c>
      <c r="H634" s="41">
        <f>H635</f>
        <v>40</v>
      </c>
      <c r="I634" s="41">
        <f t="shared" ref="I634" si="225">I635</f>
        <v>40</v>
      </c>
      <c r="J634" s="93">
        <f t="shared" si="221"/>
        <v>100</v>
      </c>
    </row>
    <row r="635" spans="1:10" ht="39.6" x14ac:dyDescent="0.25">
      <c r="A635" s="1"/>
      <c r="B635" s="25"/>
      <c r="C635" s="16" t="s">
        <v>103</v>
      </c>
      <c r="D635" s="16" t="s">
        <v>103</v>
      </c>
      <c r="E635" s="74">
        <v>1030300000</v>
      </c>
      <c r="F635" s="82"/>
      <c r="G635" s="97" t="s">
        <v>612</v>
      </c>
      <c r="H635" s="41">
        <f>H636+H638</f>
        <v>40</v>
      </c>
      <c r="I635" s="41">
        <f t="shared" ref="I635" si="226">I636+I638</f>
        <v>40</v>
      </c>
      <c r="J635" s="93">
        <f t="shared" si="221"/>
        <v>100</v>
      </c>
    </row>
    <row r="636" spans="1:10" ht="39.6" x14ac:dyDescent="0.25">
      <c r="A636" s="1"/>
      <c r="B636" s="25"/>
      <c r="C636" s="16" t="s">
        <v>103</v>
      </c>
      <c r="D636" s="16" t="s">
        <v>103</v>
      </c>
      <c r="E636" s="74">
        <v>1030323090</v>
      </c>
      <c r="F636" s="82"/>
      <c r="G636" s="97" t="s">
        <v>609</v>
      </c>
      <c r="H636" s="41">
        <f>H637</f>
        <v>10</v>
      </c>
      <c r="I636" s="41">
        <f t="shared" ref="I636" si="227">I637</f>
        <v>10</v>
      </c>
      <c r="J636" s="93">
        <f t="shared" si="221"/>
        <v>100</v>
      </c>
    </row>
    <row r="637" spans="1:10" ht="39.6" x14ac:dyDescent="0.25">
      <c r="A637" s="1"/>
      <c r="B637" s="25"/>
      <c r="C637" s="16" t="s">
        <v>103</v>
      </c>
      <c r="D637" s="16" t="s">
        <v>103</v>
      </c>
      <c r="E637" s="74">
        <v>1030323090</v>
      </c>
      <c r="F637" s="82" t="s">
        <v>205</v>
      </c>
      <c r="G637" s="97" t="s">
        <v>206</v>
      </c>
      <c r="H637" s="41">
        <v>10</v>
      </c>
      <c r="I637" s="41">
        <v>10</v>
      </c>
      <c r="J637" s="93">
        <f t="shared" si="221"/>
        <v>100</v>
      </c>
    </row>
    <row r="638" spans="1:10" ht="39.6" x14ac:dyDescent="0.25">
      <c r="A638" s="1"/>
      <c r="B638" s="25"/>
      <c r="C638" s="16" t="s">
        <v>103</v>
      </c>
      <c r="D638" s="16" t="s">
        <v>103</v>
      </c>
      <c r="E638" s="74">
        <v>1030323092</v>
      </c>
      <c r="F638" s="82"/>
      <c r="G638" s="97" t="s">
        <v>610</v>
      </c>
      <c r="H638" s="41">
        <f>H639</f>
        <v>30</v>
      </c>
      <c r="I638" s="41">
        <f t="shared" ref="I638" si="228">I639</f>
        <v>30</v>
      </c>
      <c r="J638" s="93">
        <f t="shared" si="221"/>
        <v>100</v>
      </c>
    </row>
    <row r="639" spans="1:10" ht="39.6" x14ac:dyDescent="0.25">
      <c r="A639" s="1"/>
      <c r="B639" s="25"/>
      <c r="C639" s="16" t="s">
        <v>103</v>
      </c>
      <c r="D639" s="16" t="s">
        <v>103</v>
      </c>
      <c r="E639" s="74">
        <v>1030323092</v>
      </c>
      <c r="F639" s="82" t="s">
        <v>205</v>
      </c>
      <c r="G639" s="97" t="s">
        <v>206</v>
      </c>
      <c r="H639" s="41">
        <v>30</v>
      </c>
      <c r="I639" s="41">
        <v>30</v>
      </c>
      <c r="J639" s="93">
        <f t="shared" si="221"/>
        <v>100</v>
      </c>
    </row>
    <row r="640" spans="1:10" ht="15.6" x14ac:dyDescent="0.3">
      <c r="A640" s="3"/>
      <c r="B640" s="90"/>
      <c r="C640" s="4" t="s">
        <v>100</v>
      </c>
      <c r="D640" s="3"/>
      <c r="E640" s="3"/>
      <c r="F640" s="3"/>
      <c r="G640" s="49" t="s">
        <v>20</v>
      </c>
      <c r="H640" s="91">
        <f>H641+H669</f>
        <v>84839.4</v>
      </c>
      <c r="I640" s="91">
        <f>I641+I669</f>
        <v>84680.4</v>
      </c>
      <c r="J640" s="186">
        <f t="shared" si="221"/>
        <v>99.8</v>
      </c>
    </row>
    <row r="641" spans="1:13" s="37" customFormat="1" ht="14.4" x14ac:dyDescent="0.3">
      <c r="A641" s="27"/>
      <c r="B641" s="70"/>
      <c r="C641" s="35" t="s">
        <v>100</v>
      </c>
      <c r="D641" s="35" t="s">
        <v>87</v>
      </c>
      <c r="E641" s="35"/>
      <c r="F641" s="35"/>
      <c r="G641" s="45" t="s">
        <v>105</v>
      </c>
      <c r="H641" s="42">
        <f>H642+H666</f>
        <v>80536.2</v>
      </c>
      <c r="I641" s="42">
        <f>I642+I666</f>
        <v>80384.299999999988</v>
      </c>
      <c r="J641" s="42">
        <f t="shared" si="221"/>
        <v>99.8</v>
      </c>
    </row>
    <row r="642" spans="1:13" s="37" customFormat="1" ht="93" x14ac:dyDescent="0.3">
      <c r="A642" s="27"/>
      <c r="B642" s="70"/>
      <c r="C642" s="16" t="s">
        <v>100</v>
      </c>
      <c r="D642" s="16" t="s">
        <v>87</v>
      </c>
      <c r="E642" s="73" t="s">
        <v>60</v>
      </c>
      <c r="F642" s="35"/>
      <c r="G642" s="53" t="s">
        <v>560</v>
      </c>
      <c r="H642" s="65">
        <f t="shared" ref="H642:I642" si="229">H643</f>
        <v>80486.2</v>
      </c>
      <c r="I642" s="65">
        <f t="shared" si="229"/>
        <v>80334.299999999988</v>
      </c>
      <c r="J642" s="62">
        <f t="shared" si="221"/>
        <v>99.8</v>
      </c>
    </row>
    <row r="643" spans="1:13" s="37" customFormat="1" ht="27" x14ac:dyDescent="0.3">
      <c r="A643" s="27"/>
      <c r="B643" s="70"/>
      <c r="C643" s="16" t="s">
        <v>100</v>
      </c>
      <c r="D643" s="16" t="s">
        <v>87</v>
      </c>
      <c r="E643" s="21" t="s">
        <v>61</v>
      </c>
      <c r="F643" s="35"/>
      <c r="G643" s="48" t="s">
        <v>166</v>
      </c>
      <c r="H643" s="58">
        <f>H644+H661</f>
        <v>80486.2</v>
      </c>
      <c r="I643" s="58">
        <f>I644+I661</f>
        <v>80334.299999999988</v>
      </c>
      <c r="J643" s="58">
        <f t="shared" si="221"/>
        <v>99.8</v>
      </c>
    </row>
    <row r="644" spans="1:13" s="37" customFormat="1" ht="39.6" x14ac:dyDescent="0.3">
      <c r="A644" s="27"/>
      <c r="B644" s="70"/>
      <c r="C644" s="16" t="s">
        <v>100</v>
      </c>
      <c r="D644" s="16" t="s">
        <v>87</v>
      </c>
      <c r="E644" s="21" t="s">
        <v>202</v>
      </c>
      <c r="F644" s="35"/>
      <c r="G644" s="100" t="s">
        <v>207</v>
      </c>
      <c r="H644" s="93">
        <f>H645+H649+H651+H654+H657+H659</f>
        <v>78917.2</v>
      </c>
      <c r="I644" s="93">
        <f t="shared" ref="I644" si="230">I645+I649+I651+I654+I657+I659</f>
        <v>78765.299999999988</v>
      </c>
      <c r="J644" s="93">
        <f t="shared" si="221"/>
        <v>99.8</v>
      </c>
    </row>
    <row r="645" spans="1:13" ht="26.4" x14ac:dyDescent="0.25">
      <c r="A645" s="1"/>
      <c r="B645" s="25"/>
      <c r="C645" s="16" t="s">
        <v>100</v>
      </c>
      <c r="D645" s="16" t="s">
        <v>87</v>
      </c>
      <c r="E645" s="74">
        <v>210122900</v>
      </c>
      <c r="F645" s="16"/>
      <c r="G645" s="98" t="s">
        <v>165</v>
      </c>
      <c r="H645" s="39">
        <f>SUM(H646:H648)</f>
        <v>14462.900000000001</v>
      </c>
      <c r="I645" s="39">
        <f t="shared" ref="I645" si="231">SUM(I646:I648)</f>
        <v>14311</v>
      </c>
      <c r="J645" s="93">
        <f t="shared" si="221"/>
        <v>98.9</v>
      </c>
    </row>
    <row r="646" spans="1:13" ht="26.4" x14ac:dyDescent="0.25">
      <c r="A646" s="1"/>
      <c r="B646" s="25"/>
      <c r="C646" s="16" t="s">
        <v>100</v>
      </c>
      <c r="D646" s="16" t="s">
        <v>87</v>
      </c>
      <c r="E646" s="74">
        <v>210122900</v>
      </c>
      <c r="F646" s="82" t="s">
        <v>65</v>
      </c>
      <c r="G646" s="55" t="s">
        <v>128</v>
      </c>
      <c r="H646" s="39">
        <f>5408.8-17.4-1.5-21.4</f>
        <v>5368.5000000000009</v>
      </c>
      <c r="I646" s="39">
        <v>5355.6</v>
      </c>
      <c r="J646" s="93">
        <f t="shared" si="221"/>
        <v>99.8</v>
      </c>
    </row>
    <row r="647" spans="1:13" ht="39.6" x14ac:dyDescent="0.25">
      <c r="A647" s="1"/>
      <c r="B647" s="25"/>
      <c r="C647" s="16" t="s">
        <v>100</v>
      </c>
      <c r="D647" s="16" t="s">
        <v>87</v>
      </c>
      <c r="E647" s="74">
        <v>210122900</v>
      </c>
      <c r="F647" s="82" t="s">
        <v>205</v>
      </c>
      <c r="G647" s="97" t="s">
        <v>206</v>
      </c>
      <c r="H647" s="39">
        <f>5956.5+2577.4+502.4-13.4+70</f>
        <v>9092.9</v>
      </c>
      <c r="I647" s="39">
        <v>8953.9</v>
      </c>
      <c r="J647" s="93">
        <f t="shared" si="221"/>
        <v>98.5</v>
      </c>
    </row>
    <row r="648" spans="1:13" ht="26.4" x14ac:dyDescent="0.25">
      <c r="A648" s="1"/>
      <c r="B648" s="25"/>
      <c r="C648" s="16" t="s">
        <v>100</v>
      </c>
      <c r="D648" s="16" t="s">
        <v>87</v>
      </c>
      <c r="E648" s="74">
        <v>210122900</v>
      </c>
      <c r="F648" s="82" t="s">
        <v>129</v>
      </c>
      <c r="G648" s="97" t="s">
        <v>130</v>
      </c>
      <c r="H648" s="39">
        <v>1.5</v>
      </c>
      <c r="I648" s="39">
        <v>1.5</v>
      </c>
      <c r="J648" s="93">
        <f t="shared" si="221"/>
        <v>100</v>
      </c>
    </row>
    <row r="649" spans="1:13" ht="52.8" x14ac:dyDescent="0.25">
      <c r="A649" s="1"/>
      <c r="B649" s="25"/>
      <c r="C649" s="16" t="s">
        <v>100</v>
      </c>
      <c r="D649" s="16" t="s">
        <v>87</v>
      </c>
      <c r="E649" s="74">
        <v>210121100</v>
      </c>
      <c r="F649" s="16"/>
      <c r="G649" s="98" t="s">
        <v>167</v>
      </c>
      <c r="H649" s="39">
        <f>H650</f>
        <v>33743.699999999997</v>
      </c>
      <c r="I649" s="39">
        <f>I650</f>
        <v>33743.699999999997</v>
      </c>
      <c r="J649" s="93">
        <f t="shared" si="221"/>
        <v>100</v>
      </c>
    </row>
    <row r="650" spans="1:13" x14ac:dyDescent="0.25">
      <c r="A650" s="1"/>
      <c r="B650" s="25"/>
      <c r="C650" s="16" t="s">
        <v>100</v>
      </c>
      <c r="D650" s="16" t="s">
        <v>87</v>
      </c>
      <c r="E650" s="74">
        <v>210121100</v>
      </c>
      <c r="F650" s="21" t="s">
        <v>219</v>
      </c>
      <c r="G650" s="97" t="s">
        <v>218</v>
      </c>
      <c r="H650" s="39">
        <f>33945.3-18.5-109.8-25-48.3</f>
        <v>33743.699999999997</v>
      </c>
      <c r="I650" s="1">
        <v>33743.699999999997</v>
      </c>
      <c r="J650" s="93">
        <f t="shared" si="221"/>
        <v>100</v>
      </c>
    </row>
    <row r="651" spans="1:13" ht="52.8" x14ac:dyDescent="0.25">
      <c r="A651" s="1"/>
      <c r="B651" s="25"/>
      <c r="C651" s="16" t="s">
        <v>100</v>
      </c>
      <c r="D651" s="16" t="s">
        <v>87</v>
      </c>
      <c r="E651" s="74" t="s">
        <v>436</v>
      </c>
      <c r="F651" s="82"/>
      <c r="G651" s="97" t="s">
        <v>310</v>
      </c>
      <c r="H651" s="39">
        <f>SUM(H652:H653)</f>
        <v>305.60000000000002</v>
      </c>
      <c r="I651" s="39">
        <f>SUM(I652:I653)</f>
        <v>305.60000000000002</v>
      </c>
      <c r="J651" s="93">
        <f t="shared" si="221"/>
        <v>100</v>
      </c>
      <c r="M651" s="102"/>
    </row>
    <row r="652" spans="1:13" ht="26.4" x14ac:dyDescent="0.25">
      <c r="A652" s="1"/>
      <c r="B652" s="25"/>
      <c r="C652" s="16" t="s">
        <v>100</v>
      </c>
      <c r="D652" s="16" t="s">
        <v>87</v>
      </c>
      <c r="E652" s="74" t="s">
        <v>436</v>
      </c>
      <c r="F652" s="82" t="s">
        <v>65</v>
      </c>
      <c r="G652" s="55" t="s">
        <v>128</v>
      </c>
      <c r="H652" s="39">
        <f>50+17.4+21.4</f>
        <v>88.800000000000011</v>
      </c>
      <c r="I652" s="39">
        <v>88.8</v>
      </c>
      <c r="J652" s="93">
        <f t="shared" si="221"/>
        <v>100</v>
      </c>
    </row>
    <row r="653" spans="1:13" x14ac:dyDescent="0.25">
      <c r="A653" s="1"/>
      <c r="B653" s="25"/>
      <c r="C653" s="16" t="s">
        <v>100</v>
      </c>
      <c r="D653" s="16" t="s">
        <v>87</v>
      </c>
      <c r="E653" s="74" t="s">
        <v>436</v>
      </c>
      <c r="F653" s="21" t="s">
        <v>219</v>
      </c>
      <c r="G653" s="97" t="s">
        <v>218</v>
      </c>
      <c r="H653" s="39">
        <f>150+18.5+48.3</f>
        <v>216.8</v>
      </c>
      <c r="I653" s="39">
        <v>216.8</v>
      </c>
      <c r="J653" s="93">
        <f t="shared" si="221"/>
        <v>100</v>
      </c>
    </row>
    <row r="654" spans="1:13" ht="52.8" x14ac:dyDescent="0.25">
      <c r="A654" s="1"/>
      <c r="B654" s="25"/>
      <c r="C654" s="16" t="s">
        <v>100</v>
      </c>
      <c r="D654" s="16" t="s">
        <v>87</v>
      </c>
      <c r="E654" s="74">
        <v>210110680</v>
      </c>
      <c r="F654" s="82"/>
      <c r="G654" s="97" t="s">
        <v>349</v>
      </c>
      <c r="H654" s="39">
        <f>SUM(H655:H656)</f>
        <v>30251.600000000002</v>
      </c>
      <c r="I654" s="39">
        <f t="shared" ref="I654" si="232">SUM(I655:I656)</f>
        <v>30251.599999999999</v>
      </c>
      <c r="J654" s="93">
        <f t="shared" si="221"/>
        <v>100</v>
      </c>
    </row>
    <row r="655" spans="1:13" ht="26.4" x14ac:dyDescent="0.25">
      <c r="A655" s="1"/>
      <c r="B655" s="25"/>
      <c r="C655" s="16" t="s">
        <v>100</v>
      </c>
      <c r="D655" s="16" t="s">
        <v>87</v>
      </c>
      <c r="E655" s="74">
        <v>210110680</v>
      </c>
      <c r="F655" s="82" t="s">
        <v>65</v>
      </c>
      <c r="G655" s="55" t="s">
        <v>128</v>
      </c>
      <c r="H655" s="39">
        <f>6672.7+2118.3</f>
        <v>8791</v>
      </c>
      <c r="I655" s="39">
        <v>8791</v>
      </c>
      <c r="J655" s="93">
        <f t="shared" si="221"/>
        <v>100</v>
      </c>
    </row>
    <row r="656" spans="1:13" x14ac:dyDescent="0.25">
      <c r="A656" s="1"/>
      <c r="B656" s="25"/>
      <c r="C656" s="16" t="s">
        <v>100</v>
      </c>
      <c r="D656" s="16" t="s">
        <v>87</v>
      </c>
      <c r="E656" s="74">
        <v>210110680</v>
      </c>
      <c r="F656" s="21" t="s">
        <v>219</v>
      </c>
      <c r="G656" s="97" t="s">
        <v>218</v>
      </c>
      <c r="H656" s="39">
        <f>16681.9+4778.7</f>
        <v>21460.600000000002</v>
      </c>
      <c r="I656" s="39">
        <v>21460.6</v>
      </c>
      <c r="J656" s="93">
        <f t="shared" si="221"/>
        <v>100</v>
      </c>
    </row>
    <row r="657" spans="1:10" ht="52.8" x14ac:dyDescent="0.25">
      <c r="A657" s="1"/>
      <c r="B657" s="25"/>
      <c r="C657" s="16" t="s">
        <v>100</v>
      </c>
      <c r="D657" s="16" t="s">
        <v>87</v>
      </c>
      <c r="E657" s="74" t="s">
        <v>675</v>
      </c>
      <c r="F657" s="21"/>
      <c r="G657" s="54" t="s">
        <v>676</v>
      </c>
      <c r="H657" s="39">
        <f>H658</f>
        <v>133.4</v>
      </c>
      <c r="I657" s="39">
        <f t="shared" ref="I657" si="233">I658</f>
        <v>133.4</v>
      </c>
      <c r="J657" s="93">
        <f t="shared" si="221"/>
        <v>100</v>
      </c>
    </row>
    <row r="658" spans="1:10" ht="39.6" x14ac:dyDescent="0.25">
      <c r="A658" s="1"/>
      <c r="B658" s="25"/>
      <c r="C658" s="16" t="s">
        <v>100</v>
      </c>
      <c r="D658" s="16" t="s">
        <v>87</v>
      </c>
      <c r="E658" s="74" t="s">
        <v>675</v>
      </c>
      <c r="F658" s="82" t="s">
        <v>205</v>
      </c>
      <c r="G658" s="97" t="s">
        <v>206</v>
      </c>
      <c r="H658" s="39">
        <f>120+13.4</f>
        <v>133.4</v>
      </c>
      <c r="I658" s="39">
        <v>133.4</v>
      </c>
      <c r="J658" s="93">
        <f t="shared" si="221"/>
        <v>100</v>
      </c>
    </row>
    <row r="659" spans="1:10" ht="39.6" x14ac:dyDescent="0.25">
      <c r="A659" s="1"/>
      <c r="B659" s="25"/>
      <c r="C659" s="16" t="s">
        <v>100</v>
      </c>
      <c r="D659" s="16" t="s">
        <v>87</v>
      </c>
      <c r="E659" s="156" t="s">
        <v>683</v>
      </c>
      <c r="F659" s="82"/>
      <c r="G659" s="122" t="s">
        <v>684</v>
      </c>
      <c r="H659" s="39">
        <f>H660</f>
        <v>20</v>
      </c>
      <c r="I659" s="39">
        <f t="shared" ref="I659" si="234">I660</f>
        <v>20</v>
      </c>
      <c r="J659" s="93">
        <f t="shared" si="221"/>
        <v>100</v>
      </c>
    </row>
    <row r="660" spans="1:10" ht="39.6" x14ac:dyDescent="0.25">
      <c r="A660" s="1"/>
      <c r="B660" s="25"/>
      <c r="C660" s="16" t="s">
        <v>100</v>
      </c>
      <c r="D660" s="16" t="s">
        <v>87</v>
      </c>
      <c r="E660" s="156" t="s">
        <v>683</v>
      </c>
      <c r="F660" s="82" t="s">
        <v>205</v>
      </c>
      <c r="G660" s="97" t="s">
        <v>206</v>
      </c>
      <c r="H660" s="39">
        <v>20</v>
      </c>
      <c r="I660" s="39">
        <v>20</v>
      </c>
      <c r="J660" s="93">
        <f t="shared" si="221"/>
        <v>100</v>
      </c>
    </row>
    <row r="661" spans="1:10" ht="52.8" x14ac:dyDescent="0.3">
      <c r="A661" s="1"/>
      <c r="B661" s="25"/>
      <c r="C661" s="16" t="s">
        <v>100</v>
      </c>
      <c r="D661" s="16" t="s">
        <v>87</v>
      </c>
      <c r="E661" s="21" t="s">
        <v>250</v>
      </c>
      <c r="F661" s="35"/>
      <c r="G661" s="97" t="s">
        <v>249</v>
      </c>
      <c r="H661" s="41">
        <f>H662+H664</f>
        <v>1569</v>
      </c>
      <c r="I661" s="41">
        <f>I662+I664</f>
        <v>1569</v>
      </c>
      <c r="J661" s="93">
        <f t="shared" si="221"/>
        <v>100</v>
      </c>
    </row>
    <row r="662" spans="1:10" ht="52.8" x14ac:dyDescent="0.25">
      <c r="A662" s="1"/>
      <c r="B662" s="25"/>
      <c r="C662" s="16" t="s">
        <v>100</v>
      </c>
      <c r="D662" s="16" t="s">
        <v>87</v>
      </c>
      <c r="E662" s="123" t="s">
        <v>439</v>
      </c>
      <c r="F662" s="82"/>
      <c r="G662" s="128" t="s">
        <v>362</v>
      </c>
      <c r="H662" s="39">
        <f>H663</f>
        <v>624</v>
      </c>
      <c r="I662" s="39">
        <f>I663</f>
        <v>624</v>
      </c>
      <c r="J662" s="93">
        <f t="shared" si="221"/>
        <v>100</v>
      </c>
    </row>
    <row r="663" spans="1:10" x14ac:dyDescent="0.25">
      <c r="A663" s="1"/>
      <c r="B663" s="25"/>
      <c r="C663" s="16" t="s">
        <v>100</v>
      </c>
      <c r="D663" s="16" t="s">
        <v>87</v>
      </c>
      <c r="E663" s="123" t="s">
        <v>439</v>
      </c>
      <c r="F663" s="21" t="s">
        <v>219</v>
      </c>
      <c r="G663" s="97" t="s">
        <v>218</v>
      </c>
      <c r="H663" s="39">
        <f>13+611</f>
        <v>624</v>
      </c>
      <c r="I663" s="39">
        <v>624</v>
      </c>
      <c r="J663" s="93">
        <f t="shared" si="221"/>
        <v>100</v>
      </c>
    </row>
    <row r="664" spans="1:10" ht="42" customHeight="1" x14ac:dyDescent="0.25">
      <c r="A664" s="1"/>
      <c r="B664" s="25"/>
      <c r="C664" s="16" t="s">
        <v>100</v>
      </c>
      <c r="D664" s="16" t="s">
        <v>87</v>
      </c>
      <c r="E664" s="131" t="s">
        <v>441</v>
      </c>
      <c r="F664" s="21"/>
      <c r="G664" s="97" t="s">
        <v>440</v>
      </c>
      <c r="H664" s="39">
        <f>H665</f>
        <v>945</v>
      </c>
      <c r="I664" s="39">
        <f>I665</f>
        <v>945</v>
      </c>
      <c r="J664" s="93">
        <f t="shared" si="221"/>
        <v>100</v>
      </c>
    </row>
    <row r="665" spans="1:10" x14ac:dyDescent="0.25">
      <c r="A665" s="1"/>
      <c r="B665" s="25"/>
      <c r="C665" s="16" t="s">
        <v>100</v>
      </c>
      <c r="D665" s="16" t="s">
        <v>87</v>
      </c>
      <c r="E665" s="131" t="s">
        <v>441</v>
      </c>
      <c r="F665" s="21" t="s">
        <v>219</v>
      </c>
      <c r="G665" s="97" t="s">
        <v>218</v>
      </c>
      <c r="H665" s="39">
        <v>945</v>
      </c>
      <c r="I665" s="39">
        <v>945</v>
      </c>
      <c r="J665" s="93">
        <f t="shared" si="221"/>
        <v>100</v>
      </c>
    </row>
    <row r="666" spans="1:10" ht="39.6" x14ac:dyDescent="0.25">
      <c r="A666" s="1"/>
      <c r="B666" s="25"/>
      <c r="C666" s="16" t="s">
        <v>100</v>
      </c>
      <c r="D666" s="16" t="s">
        <v>87</v>
      </c>
      <c r="E666" s="82" t="s">
        <v>25</v>
      </c>
      <c r="F666" s="82"/>
      <c r="G666" s="98" t="s">
        <v>39</v>
      </c>
      <c r="H666" s="41">
        <f>H667</f>
        <v>50</v>
      </c>
      <c r="I666" s="41">
        <f t="shared" ref="I666" si="235">I667</f>
        <v>50</v>
      </c>
      <c r="J666" s="93">
        <f t="shared" si="221"/>
        <v>100</v>
      </c>
    </row>
    <row r="667" spans="1:10" ht="52.8" x14ac:dyDescent="0.25">
      <c r="A667" s="1"/>
      <c r="B667" s="25"/>
      <c r="C667" s="16" t="s">
        <v>100</v>
      </c>
      <c r="D667" s="16" t="s">
        <v>87</v>
      </c>
      <c r="E667" s="82" t="s">
        <v>556</v>
      </c>
      <c r="F667" s="16"/>
      <c r="G667" s="54" t="s">
        <v>558</v>
      </c>
      <c r="H667" s="41">
        <f>SUM(H668:H668)</f>
        <v>50</v>
      </c>
      <c r="I667" s="41">
        <f>SUM(I668:I668)</f>
        <v>50</v>
      </c>
      <c r="J667" s="93">
        <f t="shared" si="221"/>
        <v>100</v>
      </c>
    </row>
    <row r="668" spans="1:10" x14ac:dyDescent="0.25">
      <c r="A668" s="1"/>
      <c r="B668" s="25"/>
      <c r="C668" s="16" t="s">
        <v>100</v>
      </c>
      <c r="D668" s="16" t="s">
        <v>87</v>
      </c>
      <c r="E668" s="82" t="s">
        <v>556</v>
      </c>
      <c r="F668" s="21" t="s">
        <v>219</v>
      </c>
      <c r="G668" s="97" t="s">
        <v>218</v>
      </c>
      <c r="H668" s="39">
        <v>50</v>
      </c>
      <c r="I668" s="39">
        <v>50</v>
      </c>
      <c r="J668" s="93">
        <f t="shared" si="221"/>
        <v>100</v>
      </c>
    </row>
    <row r="669" spans="1:10" s="37" customFormat="1" ht="27" x14ac:dyDescent="0.3">
      <c r="A669" s="27"/>
      <c r="B669" s="70"/>
      <c r="C669" s="35" t="s">
        <v>100</v>
      </c>
      <c r="D669" s="35" t="s">
        <v>93</v>
      </c>
      <c r="E669" s="35"/>
      <c r="F669" s="35"/>
      <c r="G669" s="46" t="s">
        <v>7</v>
      </c>
      <c r="H669" s="42">
        <f>H670+H683</f>
        <v>4303.2</v>
      </c>
      <c r="I669" s="42">
        <f>I670+I683</f>
        <v>4296.1000000000004</v>
      </c>
      <c r="J669" s="42">
        <f t="shared" si="221"/>
        <v>99.8</v>
      </c>
    </row>
    <row r="670" spans="1:10" s="37" customFormat="1" ht="93" x14ac:dyDescent="0.3">
      <c r="A670" s="27"/>
      <c r="B670" s="70"/>
      <c r="C670" s="5" t="s">
        <v>100</v>
      </c>
      <c r="D670" s="5" t="s">
        <v>93</v>
      </c>
      <c r="E670" s="73" t="s">
        <v>60</v>
      </c>
      <c r="F670" s="35"/>
      <c r="G670" s="53" t="s">
        <v>560</v>
      </c>
      <c r="H670" s="65">
        <f>H671+H677</f>
        <v>4063.2</v>
      </c>
      <c r="I670" s="65">
        <f>I671+I677</f>
        <v>4056.1000000000004</v>
      </c>
      <c r="J670" s="62">
        <f t="shared" si="221"/>
        <v>99.8</v>
      </c>
    </row>
    <row r="671" spans="1:10" s="37" customFormat="1" ht="27" x14ac:dyDescent="0.3">
      <c r="A671" s="27"/>
      <c r="B671" s="70"/>
      <c r="C671" s="16" t="s">
        <v>100</v>
      </c>
      <c r="D671" s="16" t="s">
        <v>93</v>
      </c>
      <c r="E671" s="21" t="s">
        <v>61</v>
      </c>
      <c r="F671" s="35"/>
      <c r="G671" s="48" t="s">
        <v>166</v>
      </c>
      <c r="H671" s="42">
        <f t="shared" ref="H671:I673" si="236">H672</f>
        <v>599.79999999999995</v>
      </c>
      <c r="I671" s="42">
        <f t="shared" si="236"/>
        <v>599.79999999999995</v>
      </c>
      <c r="J671" s="58">
        <f t="shared" si="221"/>
        <v>100</v>
      </c>
    </row>
    <row r="672" spans="1:10" s="37" customFormat="1" ht="39.6" x14ac:dyDescent="0.3">
      <c r="A672" s="27"/>
      <c r="B672" s="70"/>
      <c r="C672" s="16" t="s">
        <v>100</v>
      </c>
      <c r="D672" s="16" t="s">
        <v>93</v>
      </c>
      <c r="E672" s="21" t="s">
        <v>442</v>
      </c>
      <c r="F672" s="35"/>
      <c r="G672" s="100" t="s">
        <v>251</v>
      </c>
      <c r="H672" s="41">
        <f>H673+H675</f>
        <v>599.79999999999995</v>
      </c>
      <c r="I672" s="41">
        <f t="shared" ref="I672" si="237">I673+I675</f>
        <v>599.79999999999995</v>
      </c>
      <c r="J672" s="93">
        <f t="shared" si="221"/>
        <v>100</v>
      </c>
    </row>
    <row r="673" spans="1:10" s="37" customFormat="1" ht="52.8" x14ac:dyDescent="0.3">
      <c r="A673" s="27"/>
      <c r="B673" s="70"/>
      <c r="C673" s="16" t="s">
        <v>100</v>
      </c>
      <c r="D673" s="16" t="s">
        <v>93</v>
      </c>
      <c r="E673" s="21" t="s">
        <v>443</v>
      </c>
      <c r="F673" s="16"/>
      <c r="G673" s="97" t="s">
        <v>169</v>
      </c>
      <c r="H673" s="41">
        <f t="shared" si="236"/>
        <v>499.8</v>
      </c>
      <c r="I673" s="41">
        <f t="shared" si="236"/>
        <v>499.8</v>
      </c>
      <c r="J673" s="93">
        <f t="shared" si="221"/>
        <v>100</v>
      </c>
    </row>
    <row r="674" spans="1:10" s="37" customFormat="1" ht="39.6" x14ac:dyDescent="0.3">
      <c r="A674" s="27"/>
      <c r="B674" s="70"/>
      <c r="C674" s="16" t="s">
        <v>100</v>
      </c>
      <c r="D674" s="16" t="s">
        <v>93</v>
      </c>
      <c r="E674" s="21" t="s">
        <v>443</v>
      </c>
      <c r="F674" s="82" t="s">
        <v>205</v>
      </c>
      <c r="G674" s="97" t="s">
        <v>206</v>
      </c>
      <c r="H674" s="41">
        <f>374+125.8</f>
        <v>499.8</v>
      </c>
      <c r="I674" s="41">
        <v>499.8</v>
      </c>
      <c r="J674" s="93">
        <f t="shared" si="221"/>
        <v>100</v>
      </c>
    </row>
    <row r="675" spans="1:10" s="37" customFormat="1" ht="27" x14ac:dyDescent="0.3">
      <c r="A675" s="27"/>
      <c r="B675" s="70"/>
      <c r="C675" s="16" t="s">
        <v>100</v>
      </c>
      <c r="D675" s="16" t="s">
        <v>93</v>
      </c>
      <c r="E675" s="21" t="s">
        <v>685</v>
      </c>
      <c r="F675" s="82"/>
      <c r="G675" s="107" t="s">
        <v>686</v>
      </c>
      <c r="H675" s="41">
        <f>H676</f>
        <v>100</v>
      </c>
      <c r="I675" s="41">
        <f t="shared" ref="I675" si="238">I676</f>
        <v>100</v>
      </c>
      <c r="J675" s="93">
        <f t="shared" si="221"/>
        <v>100</v>
      </c>
    </row>
    <row r="676" spans="1:10" s="37" customFormat="1" ht="39.6" x14ac:dyDescent="0.3">
      <c r="A676" s="27"/>
      <c r="B676" s="70"/>
      <c r="C676" s="16" t="s">
        <v>100</v>
      </c>
      <c r="D676" s="16" t="s">
        <v>93</v>
      </c>
      <c r="E676" s="158" t="s">
        <v>685</v>
      </c>
      <c r="F676" s="82" t="s">
        <v>205</v>
      </c>
      <c r="G676" s="97" t="s">
        <v>206</v>
      </c>
      <c r="H676" s="41">
        <v>100</v>
      </c>
      <c r="I676" s="41">
        <v>100</v>
      </c>
      <c r="J676" s="93">
        <f t="shared" si="221"/>
        <v>100</v>
      </c>
    </row>
    <row r="677" spans="1:10" s="37" customFormat="1" ht="14.4" x14ac:dyDescent="0.3">
      <c r="A677" s="27"/>
      <c r="B677" s="70"/>
      <c r="C677" s="16" t="s">
        <v>100</v>
      </c>
      <c r="D677" s="16" t="s">
        <v>93</v>
      </c>
      <c r="E677" s="52" t="s">
        <v>32</v>
      </c>
      <c r="F677" s="21"/>
      <c r="G677" s="66" t="s">
        <v>47</v>
      </c>
      <c r="H677" s="58">
        <f>H678+H681</f>
        <v>3463.4</v>
      </c>
      <c r="I677" s="58">
        <f t="shared" ref="I677" si="239">I678+I681</f>
        <v>3456.3</v>
      </c>
      <c r="J677" s="93">
        <f t="shared" si="221"/>
        <v>99.8</v>
      </c>
    </row>
    <row r="678" spans="1:10" s="37" customFormat="1" ht="66" x14ac:dyDescent="0.3">
      <c r="A678" s="27"/>
      <c r="B678" s="70"/>
      <c r="C678" s="16" t="s">
        <v>100</v>
      </c>
      <c r="D678" s="16" t="s">
        <v>93</v>
      </c>
      <c r="E678" s="80">
        <v>290022200</v>
      </c>
      <c r="F678" s="21"/>
      <c r="G678" s="97" t="s">
        <v>257</v>
      </c>
      <c r="H678" s="93">
        <f>SUM(H679:H680)</f>
        <v>3403.5</v>
      </c>
      <c r="I678" s="93">
        <f>SUM(I679:I680)</f>
        <v>3396.4</v>
      </c>
      <c r="J678" s="93">
        <f t="shared" si="221"/>
        <v>99.8</v>
      </c>
    </row>
    <row r="679" spans="1:10" s="37" customFormat="1" ht="39.6" x14ac:dyDescent="0.3">
      <c r="A679" s="27"/>
      <c r="B679" s="70"/>
      <c r="C679" s="16" t="s">
        <v>100</v>
      </c>
      <c r="D679" s="16" t="s">
        <v>93</v>
      </c>
      <c r="E679" s="80">
        <v>290022200</v>
      </c>
      <c r="F679" s="16" t="s">
        <v>63</v>
      </c>
      <c r="G679" s="55" t="s">
        <v>64</v>
      </c>
      <c r="H679" s="93">
        <f>3035.4+300.6</f>
        <v>3336</v>
      </c>
      <c r="I679" s="208">
        <v>3336</v>
      </c>
      <c r="J679" s="93">
        <f t="shared" si="221"/>
        <v>100</v>
      </c>
    </row>
    <row r="680" spans="1:10" s="37" customFormat="1" ht="39.6" x14ac:dyDescent="0.3">
      <c r="A680" s="27"/>
      <c r="B680" s="70"/>
      <c r="C680" s="16" t="s">
        <v>100</v>
      </c>
      <c r="D680" s="16" t="s">
        <v>93</v>
      </c>
      <c r="E680" s="80">
        <v>290022200</v>
      </c>
      <c r="F680" s="82" t="s">
        <v>205</v>
      </c>
      <c r="G680" s="97" t="s">
        <v>206</v>
      </c>
      <c r="H680" s="41">
        <v>67.5</v>
      </c>
      <c r="I680" s="209">
        <v>60.4</v>
      </c>
      <c r="J680" s="93">
        <f t="shared" si="221"/>
        <v>89.5</v>
      </c>
    </row>
    <row r="681" spans="1:10" s="37" customFormat="1" ht="79.8" x14ac:dyDescent="0.3">
      <c r="A681" s="27"/>
      <c r="B681" s="70"/>
      <c r="C681" s="16" t="s">
        <v>100</v>
      </c>
      <c r="D681" s="16" t="s">
        <v>93</v>
      </c>
      <c r="E681" s="80">
        <v>290055492</v>
      </c>
      <c r="F681" s="82"/>
      <c r="G681" s="172" t="s">
        <v>714</v>
      </c>
      <c r="H681" s="41">
        <f>H682</f>
        <v>59.9</v>
      </c>
      <c r="I681" s="41">
        <f t="shared" ref="I681" si="240">I682</f>
        <v>59.9</v>
      </c>
      <c r="J681" s="93">
        <f t="shared" si="221"/>
        <v>100</v>
      </c>
    </row>
    <row r="682" spans="1:10" s="37" customFormat="1" ht="40.200000000000003" x14ac:dyDescent="0.3">
      <c r="A682" s="27"/>
      <c r="B682" s="70"/>
      <c r="C682" s="16" t="s">
        <v>100</v>
      </c>
      <c r="D682" s="16" t="s">
        <v>93</v>
      </c>
      <c r="E682" s="80">
        <v>290055492</v>
      </c>
      <c r="F682" s="16" t="s">
        <v>63</v>
      </c>
      <c r="G682" s="172" t="s">
        <v>78</v>
      </c>
      <c r="H682" s="41">
        <v>59.9</v>
      </c>
      <c r="I682" s="41">
        <v>59.9</v>
      </c>
      <c r="J682" s="93">
        <f t="shared" si="221"/>
        <v>100</v>
      </c>
    </row>
    <row r="683" spans="1:10" s="37" customFormat="1" ht="40.200000000000003" x14ac:dyDescent="0.3">
      <c r="A683" s="27"/>
      <c r="B683" s="70"/>
      <c r="C683" s="16" t="s">
        <v>100</v>
      </c>
      <c r="D683" s="16" t="s">
        <v>93</v>
      </c>
      <c r="E683" s="82" t="s">
        <v>25</v>
      </c>
      <c r="F683" s="82"/>
      <c r="G683" s="98" t="s">
        <v>39</v>
      </c>
      <c r="H683" s="41">
        <f>H684</f>
        <v>240</v>
      </c>
      <c r="I683" s="41">
        <f t="shared" ref="I683" si="241">I684</f>
        <v>240</v>
      </c>
      <c r="J683" s="93">
        <f t="shared" si="221"/>
        <v>100</v>
      </c>
    </row>
    <row r="684" spans="1:10" s="37" customFormat="1" ht="52.8" x14ac:dyDescent="0.3">
      <c r="A684" s="27"/>
      <c r="B684" s="70"/>
      <c r="C684" s="16" t="s">
        <v>100</v>
      </c>
      <c r="D684" s="16" t="s">
        <v>93</v>
      </c>
      <c r="E684" s="82" t="s">
        <v>555</v>
      </c>
      <c r="F684" s="21"/>
      <c r="G684" s="54" t="s">
        <v>554</v>
      </c>
      <c r="H684" s="39">
        <f>H685</f>
        <v>240</v>
      </c>
      <c r="I684" s="39">
        <f t="shared" ref="I684" si="242">I685</f>
        <v>240</v>
      </c>
      <c r="J684" s="93">
        <f t="shared" si="221"/>
        <v>100</v>
      </c>
    </row>
    <row r="685" spans="1:10" s="37" customFormat="1" ht="39.6" x14ac:dyDescent="0.3">
      <c r="A685" s="27"/>
      <c r="B685" s="70"/>
      <c r="C685" s="16" t="s">
        <v>100</v>
      </c>
      <c r="D685" s="16" t="s">
        <v>93</v>
      </c>
      <c r="E685" s="82" t="s">
        <v>555</v>
      </c>
      <c r="F685" s="82" t="s">
        <v>205</v>
      </c>
      <c r="G685" s="97" t="s">
        <v>206</v>
      </c>
      <c r="H685" s="39">
        <v>240</v>
      </c>
      <c r="I685" s="39">
        <v>240</v>
      </c>
      <c r="J685" s="93">
        <f t="shared" ref="J685" si="243">ROUND((I685/H685*100),1)</f>
        <v>100</v>
      </c>
    </row>
    <row r="686" spans="1:10" ht="15.6" x14ac:dyDescent="0.3">
      <c r="A686" s="1"/>
      <c r="B686" s="25"/>
      <c r="C686" s="4" t="s">
        <v>101</v>
      </c>
      <c r="D686" s="3"/>
      <c r="E686" s="3"/>
      <c r="F686" s="3"/>
      <c r="G686" s="49" t="s">
        <v>122</v>
      </c>
      <c r="H686" s="91">
        <f t="shared" ref="H686:I688" si="244">H687</f>
        <v>5986</v>
      </c>
      <c r="I686" s="91">
        <f t="shared" si="244"/>
        <v>5986</v>
      </c>
      <c r="J686" s="186">
        <f t="shared" si="221"/>
        <v>100</v>
      </c>
    </row>
    <row r="687" spans="1:10" ht="14.4" x14ac:dyDescent="0.3">
      <c r="A687" s="1"/>
      <c r="B687" s="25"/>
      <c r="C687" s="35" t="s">
        <v>101</v>
      </c>
      <c r="D687" s="35" t="s">
        <v>88</v>
      </c>
      <c r="E687" s="35"/>
      <c r="F687" s="35"/>
      <c r="G687" s="46" t="s">
        <v>6</v>
      </c>
      <c r="H687" s="42">
        <f t="shared" si="244"/>
        <v>5986</v>
      </c>
      <c r="I687" s="42">
        <f t="shared" si="244"/>
        <v>5986</v>
      </c>
      <c r="J687" s="42">
        <f t="shared" ref="J687:J723" si="245">ROUND((I687/H687*100),1)</f>
        <v>100</v>
      </c>
    </row>
    <row r="688" spans="1:10" ht="93" x14ac:dyDescent="0.3">
      <c r="A688" s="1"/>
      <c r="B688" s="25"/>
      <c r="C688" s="16" t="s">
        <v>101</v>
      </c>
      <c r="D688" s="16" t="s">
        <v>88</v>
      </c>
      <c r="E688" s="73" t="s">
        <v>60</v>
      </c>
      <c r="F688" s="35"/>
      <c r="G688" s="53" t="s">
        <v>560</v>
      </c>
      <c r="H688" s="62">
        <f t="shared" si="244"/>
        <v>5986</v>
      </c>
      <c r="I688" s="62">
        <f t="shared" si="244"/>
        <v>5986</v>
      </c>
      <c r="J688" s="62">
        <f t="shared" si="245"/>
        <v>100</v>
      </c>
    </row>
    <row r="689" spans="1:10" ht="40.200000000000003" x14ac:dyDescent="0.3">
      <c r="A689" s="1"/>
      <c r="B689" s="25"/>
      <c r="C689" s="47" t="s">
        <v>101</v>
      </c>
      <c r="D689" s="47" t="s">
        <v>88</v>
      </c>
      <c r="E689" s="52" t="s">
        <v>44</v>
      </c>
      <c r="F689" s="35"/>
      <c r="G689" s="48" t="s">
        <v>195</v>
      </c>
      <c r="H689" s="58">
        <f>H690+H699</f>
        <v>5986</v>
      </c>
      <c r="I689" s="58">
        <f t="shared" ref="I689" si="246">I690+I699</f>
        <v>5986</v>
      </c>
      <c r="J689" s="58">
        <f t="shared" si="245"/>
        <v>100</v>
      </c>
    </row>
    <row r="690" spans="1:10" ht="89.25" customHeight="1" x14ac:dyDescent="0.3">
      <c r="A690" s="1"/>
      <c r="B690" s="25"/>
      <c r="C690" s="16" t="s">
        <v>101</v>
      </c>
      <c r="D690" s="16" t="s">
        <v>88</v>
      </c>
      <c r="E690" s="21" t="s">
        <v>252</v>
      </c>
      <c r="F690" s="35"/>
      <c r="G690" s="98" t="s">
        <v>253</v>
      </c>
      <c r="H690" s="58">
        <f>H691+H694+H697</f>
        <v>5736</v>
      </c>
      <c r="I690" s="58">
        <f t="shared" ref="I690" si="247">I691+I694+I697</f>
        <v>5736</v>
      </c>
      <c r="J690" s="93">
        <f t="shared" si="245"/>
        <v>100</v>
      </c>
    </row>
    <row r="691" spans="1:10" ht="92.4" x14ac:dyDescent="0.25">
      <c r="A691" s="1"/>
      <c r="B691" s="25"/>
      <c r="C691" s="16" t="s">
        <v>101</v>
      </c>
      <c r="D691" s="16" t="s">
        <v>88</v>
      </c>
      <c r="E691" s="21" t="s">
        <v>444</v>
      </c>
      <c r="F691" s="21"/>
      <c r="G691" s="98" t="s">
        <v>171</v>
      </c>
      <c r="H691" s="39">
        <f>SUM(H692:H693)</f>
        <v>565.80000000000007</v>
      </c>
      <c r="I691" s="39">
        <f t="shared" ref="I691" si="248">SUM(I692:I693)</f>
        <v>565.79999999999995</v>
      </c>
      <c r="J691" s="93">
        <f t="shared" si="245"/>
        <v>100</v>
      </c>
    </row>
    <row r="692" spans="1:10" ht="26.4" x14ac:dyDescent="0.25">
      <c r="A692" s="1"/>
      <c r="B692" s="25"/>
      <c r="C692" s="16" t="s">
        <v>101</v>
      </c>
      <c r="D692" s="16" t="s">
        <v>88</v>
      </c>
      <c r="E692" s="21" t="s">
        <v>444</v>
      </c>
      <c r="F692" s="82" t="s">
        <v>65</v>
      </c>
      <c r="G692" s="55" t="s">
        <v>128</v>
      </c>
      <c r="H692" s="39">
        <f>130+0.1-6</f>
        <v>124.1</v>
      </c>
      <c r="I692" s="39">
        <v>124.1</v>
      </c>
      <c r="J692" s="93">
        <f t="shared" si="245"/>
        <v>100</v>
      </c>
    </row>
    <row r="693" spans="1:10" ht="39.6" x14ac:dyDescent="0.25">
      <c r="A693" s="1"/>
      <c r="B693" s="25"/>
      <c r="C693" s="16" t="s">
        <v>101</v>
      </c>
      <c r="D693" s="16" t="s">
        <v>88</v>
      </c>
      <c r="E693" s="21" t="s">
        <v>444</v>
      </c>
      <c r="F693" s="82" t="s">
        <v>205</v>
      </c>
      <c r="G693" s="97" t="s">
        <v>206</v>
      </c>
      <c r="H693" s="39">
        <f>543.7-130+22+6</f>
        <v>441.70000000000005</v>
      </c>
      <c r="I693" s="39">
        <v>441.7</v>
      </c>
      <c r="J693" s="93">
        <f t="shared" si="245"/>
        <v>100</v>
      </c>
    </row>
    <row r="694" spans="1:10" ht="66" x14ac:dyDescent="0.25">
      <c r="A694" s="1"/>
      <c r="B694" s="25"/>
      <c r="C694" s="16" t="s">
        <v>101</v>
      </c>
      <c r="D694" s="16" t="s">
        <v>88</v>
      </c>
      <c r="E694" s="21" t="s">
        <v>445</v>
      </c>
      <c r="F694" s="21"/>
      <c r="G694" s="98" t="s">
        <v>62</v>
      </c>
      <c r="H694" s="39">
        <f>SUM(H695:H696)</f>
        <v>68.5</v>
      </c>
      <c r="I694" s="39">
        <f>SUM(I695:I696)</f>
        <v>68.5</v>
      </c>
      <c r="J694" s="93">
        <f t="shared" si="245"/>
        <v>100</v>
      </c>
    </row>
    <row r="695" spans="1:10" ht="26.4" x14ac:dyDescent="0.25">
      <c r="A695" s="1"/>
      <c r="B695" s="25"/>
      <c r="C695" s="16" t="s">
        <v>101</v>
      </c>
      <c r="D695" s="16" t="s">
        <v>88</v>
      </c>
      <c r="E695" s="21" t="s">
        <v>445</v>
      </c>
      <c r="F695" s="82" t="s">
        <v>65</v>
      </c>
      <c r="G695" s="55" t="s">
        <v>128</v>
      </c>
      <c r="H695" s="39">
        <f>39.6+8.4</f>
        <v>48</v>
      </c>
      <c r="I695" s="39">
        <f>39.6+8.4</f>
        <v>48</v>
      </c>
      <c r="J695" s="93">
        <f t="shared" si="245"/>
        <v>100</v>
      </c>
    </row>
    <row r="696" spans="1:10" ht="39.6" x14ac:dyDescent="0.25">
      <c r="A696" s="1"/>
      <c r="B696" s="25"/>
      <c r="C696" s="16" t="s">
        <v>101</v>
      </c>
      <c r="D696" s="16" t="s">
        <v>88</v>
      </c>
      <c r="E696" s="21" t="s">
        <v>445</v>
      </c>
      <c r="F696" s="82" t="s">
        <v>205</v>
      </c>
      <c r="G696" s="97" t="s">
        <v>206</v>
      </c>
      <c r="H696" s="39">
        <f>51-30.5</f>
        <v>20.5</v>
      </c>
      <c r="I696" s="39">
        <f>51-30.5</f>
        <v>20.5</v>
      </c>
      <c r="J696" s="93">
        <f t="shared" si="245"/>
        <v>100</v>
      </c>
    </row>
    <row r="697" spans="1:10" ht="26.4" x14ac:dyDescent="0.25">
      <c r="A697" s="1"/>
      <c r="B697" s="25"/>
      <c r="C697" s="16" t="s">
        <v>101</v>
      </c>
      <c r="D697" s="16" t="s">
        <v>88</v>
      </c>
      <c r="E697" s="21" t="s">
        <v>655</v>
      </c>
      <c r="F697" s="82"/>
      <c r="G697" s="97" t="s">
        <v>654</v>
      </c>
      <c r="H697" s="39">
        <f>H698</f>
        <v>5101.7</v>
      </c>
      <c r="I697" s="39">
        <f t="shared" ref="I697" si="249">I698</f>
        <v>5101.7</v>
      </c>
      <c r="J697" s="93">
        <f t="shared" si="245"/>
        <v>100</v>
      </c>
    </row>
    <row r="698" spans="1:10" ht="39.6" x14ac:dyDescent="0.25">
      <c r="A698" s="1"/>
      <c r="B698" s="25"/>
      <c r="C698" s="16" t="s">
        <v>101</v>
      </c>
      <c r="D698" s="16" t="s">
        <v>88</v>
      </c>
      <c r="E698" s="21" t="s">
        <v>655</v>
      </c>
      <c r="F698" s="82" t="s">
        <v>205</v>
      </c>
      <c r="G698" s="97" t="s">
        <v>206</v>
      </c>
      <c r="H698" s="39">
        <v>5101.7</v>
      </c>
      <c r="I698" s="39">
        <v>5101.7</v>
      </c>
      <c r="J698" s="93">
        <f t="shared" si="245"/>
        <v>100</v>
      </c>
    </row>
    <row r="699" spans="1:10" ht="38.25" customHeight="1" x14ac:dyDescent="0.25">
      <c r="A699" s="1"/>
      <c r="B699" s="25"/>
      <c r="C699" s="16" t="s">
        <v>101</v>
      </c>
      <c r="D699" s="16" t="s">
        <v>88</v>
      </c>
      <c r="E699" s="21" t="s">
        <v>624</v>
      </c>
      <c r="F699" s="82"/>
      <c r="G699" s="97" t="s">
        <v>623</v>
      </c>
      <c r="H699" s="39">
        <f>H700+H702</f>
        <v>250</v>
      </c>
      <c r="I699" s="39">
        <f>I700+I702</f>
        <v>250</v>
      </c>
      <c r="J699" s="93">
        <f t="shared" si="245"/>
        <v>100</v>
      </c>
    </row>
    <row r="700" spans="1:10" ht="52.8" x14ac:dyDescent="0.25">
      <c r="A700" s="1"/>
      <c r="B700" s="25"/>
      <c r="C700" s="16" t="s">
        <v>101</v>
      </c>
      <c r="D700" s="16" t="s">
        <v>88</v>
      </c>
      <c r="E700" s="21" t="s">
        <v>620</v>
      </c>
      <c r="F700" s="82"/>
      <c r="G700" s="97" t="s">
        <v>621</v>
      </c>
      <c r="H700" s="39">
        <f t="shared" ref="H700" si="250">H701</f>
        <v>50</v>
      </c>
      <c r="I700" s="39">
        <f t="shared" ref="I700" si="251">I701</f>
        <v>50</v>
      </c>
      <c r="J700" s="93">
        <f t="shared" si="245"/>
        <v>100</v>
      </c>
    </row>
    <row r="701" spans="1:10" ht="39.6" x14ac:dyDescent="0.25">
      <c r="A701" s="1"/>
      <c r="B701" s="25"/>
      <c r="C701" s="16" t="s">
        <v>101</v>
      </c>
      <c r="D701" s="16" t="s">
        <v>88</v>
      </c>
      <c r="E701" s="21" t="s">
        <v>620</v>
      </c>
      <c r="F701" s="82" t="s">
        <v>205</v>
      </c>
      <c r="G701" s="97" t="s">
        <v>206</v>
      </c>
      <c r="H701" s="39">
        <v>50</v>
      </c>
      <c r="I701" s="39">
        <v>50</v>
      </c>
      <c r="J701" s="93">
        <f t="shared" si="245"/>
        <v>100</v>
      </c>
    </row>
    <row r="702" spans="1:10" ht="37.5" customHeight="1" x14ac:dyDescent="0.25">
      <c r="A702" s="1"/>
      <c r="B702" s="25"/>
      <c r="C702" s="16" t="s">
        <v>101</v>
      </c>
      <c r="D702" s="16" t="s">
        <v>88</v>
      </c>
      <c r="E702" s="21" t="s">
        <v>663</v>
      </c>
      <c r="F702" s="82"/>
      <c r="G702" s="97" t="s">
        <v>664</v>
      </c>
      <c r="H702" s="39">
        <f>H703</f>
        <v>200</v>
      </c>
      <c r="I702" s="39">
        <f>I703</f>
        <v>200</v>
      </c>
      <c r="J702" s="93">
        <f t="shared" si="245"/>
        <v>100</v>
      </c>
    </row>
    <row r="703" spans="1:10" ht="39.6" x14ac:dyDescent="0.25">
      <c r="A703" s="1"/>
      <c r="B703" s="25"/>
      <c r="C703" s="16" t="s">
        <v>101</v>
      </c>
      <c r="D703" s="16" t="s">
        <v>88</v>
      </c>
      <c r="E703" s="21" t="s">
        <v>663</v>
      </c>
      <c r="F703" s="82" t="s">
        <v>205</v>
      </c>
      <c r="G703" s="97" t="s">
        <v>206</v>
      </c>
      <c r="H703" s="39">
        <v>200</v>
      </c>
      <c r="I703" s="39">
        <v>200</v>
      </c>
      <c r="J703" s="93">
        <f t="shared" si="245"/>
        <v>100</v>
      </c>
    </row>
    <row r="704" spans="1:10" s="8" customFormat="1" ht="74.25" customHeight="1" x14ac:dyDescent="0.3">
      <c r="A704" s="3">
        <v>6</v>
      </c>
      <c r="B704" s="90">
        <v>902</v>
      </c>
      <c r="C704" s="13"/>
      <c r="D704" s="13"/>
      <c r="E704" s="13"/>
      <c r="F704" s="13"/>
      <c r="G704" s="14" t="s">
        <v>191</v>
      </c>
      <c r="H704" s="91">
        <f>H705+H719</f>
        <v>11492.9</v>
      </c>
      <c r="I704" s="91">
        <f t="shared" ref="I704" si="252">I705+I719</f>
        <v>11242.4</v>
      </c>
      <c r="J704" s="186">
        <f t="shared" si="245"/>
        <v>97.8</v>
      </c>
    </row>
    <row r="705" spans="1:12" ht="15.6" x14ac:dyDescent="0.3">
      <c r="A705" s="3"/>
      <c r="B705" s="90"/>
      <c r="C705" s="4" t="s">
        <v>87</v>
      </c>
      <c r="D705" s="11"/>
      <c r="E705" s="11"/>
      <c r="F705" s="11"/>
      <c r="G705" s="15" t="s">
        <v>90</v>
      </c>
      <c r="H705" s="91">
        <f>H706+H715</f>
        <v>11467.9</v>
      </c>
      <c r="I705" s="91">
        <f>I706+I715</f>
        <v>11217.4</v>
      </c>
      <c r="J705" s="186">
        <f t="shared" si="245"/>
        <v>97.8</v>
      </c>
    </row>
    <row r="706" spans="1:12" s="37" customFormat="1" ht="52.5" customHeight="1" x14ac:dyDescent="0.3">
      <c r="A706" s="27"/>
      <c r="B706" s="70"/>
      <c r="C706" s="35" t="s">
        <v>87</v>
      </c>
      <c r="D706" s="35" t="s">
        <v>95</v>
      </c>
      <c r="E706" s="35"/>
      <c r="F706" s="35"/>
      <c r="G706" s="46" t="s">
        <v>124</v>
      </c>
      <c r="H706" s="42">
        <f t="shared" ref="H706:I707" si="253">SUM(H707)</f>
        <v>11217.9</v>
      </c>
      <c r="I706" s="42">
        <f t="shared" si="253"/>
        <v>11217.4</v>
      </c>
      <c r="J706" s="42">
        <f t="shared" si="245"/>
        <v>100</v>
      </c>
    </row>
    <row r="707" spans="1:12" ht="26.4" x14ac:dyDescent="0.25">
      <c r="A707" s="1"/>
      <c r="B707" s="25"/>
      <c r="C707" s="16" t="s">
        <v>87</v>
      </c>
      <c r="D707" s="16" t="s">
        <v>95</v>
      </c>
      <c r="E707" s="79">
        <v>9900000000</v>
      </c>
      <c r="F707" s="16"/>
      <c r="G707" s="55" t="s">
        <v>139</v>
      </c>
      <c r="H707" s="39">
        <f t="shared" si="253"/>
        <v>11217.9</v>
      </c>
      <c r="I707" s="39">
        <f t="shared" si="253"/>
        <v>11217.4</v>
      </c>
      <c r="J707" s="93">
        <f t="shared" si="245"/>
        <v>100</v>
      </c>
    </row>
    <row r="708" spans="1:12" ht="39.6" x14ac:dyDescent="0.25">
      <c r="A708" s="1"/>
      <c r="B708" s="25"/>
      <c r="C708" s="16" t="s">
        <v>87</v>
      </c>
      <c r="D708" s="16" t="s">
        <v>95</v>
      </c>
      <c r="E708" s="79">
        <v>9980000000</v>
      </c>
      <c r="F708" s="16"/>
      <c r="G708" s="54" t="s">
        <v>30</v>
      </c>
      <c r="H708" s="39">
        <f>H709+H713</f>
        <v>11217.9</v>
      </c>
      <c r="I708" s="39">
        <f t="shared" ref="I708" si="254">I709+I713</f>
        <v>11217.4</v>
      </c>
      <c r="J708" s="93">
        <f t="shared" si="245"/>
        <v>100</v>
      </c>
    </row>
    <row r="709" spans="1:12" x14ac:dyDescent="0.25">
      <c r="A709" s="1"/>
      <c r="B709" s="25"/>
      <c r="C709" s="16" t="s">
        <v>87</v>
      </c>
      <c r="D709" s="16" t="s">
        <v>95</v>
      </c>
      <c r="E709" s="79">
        <v>9980022200</v>
      </c>
      <c r="F709" s="21"/>
      <c r="G709" s="98" t="s">
        <v>114</v>
      </c>
      <c r="H709" s="39">
        <f>SUM(H710:H712)</f>
        <v>11008.4</v>
      </c>
      <c r="I709" s="39">
        <f t="shared" ref="I709" si="255">SUM(I710:I712)</f>
        <v>11007.9</v>
      </c>
      <c r="J709" s="93">
        <f t="shared" si="245"/>
        <v>100</v>
      </c>
    </row>
    <row r="710" spans="1:12" ht="39.6" x14ac:dyDescent="0.25">
      <c r="A710" s="1"/>
      <c r="B710" s="25"/>
      <c r="C710" s="16" t="s">
        <v>87</v>
      </c>
      <c r="D710" s="16" t="s">
        <v>95</v>
      </c>
      <c r="E710" s="79">
        <v>9980022200</v>
      </c>
      <c r="F710" s="16" t="s">
        <v>63</v>
      </c>
      <c r="G710" s="101" t="s">
        <v>64</v>
      </c>
      <c r="H710" s="39">
        <f>9404.1+64.1+940.4-64.1+56.5+48.6+99+81+39.5</f>
        <v>10669.1</v>
      </c>
      <c r="I710" s="39">
        <f>9404.1+64.1+940.4-64.1+56.5+48.6+99+81+39.5</f>
        <v>10669.1</v>
      </c>
      <c r="J710" s="93">
        <f t="shared" si="245"/>
        <v>100</v>
      </c>
    </row>
    <row r="711" spans="1:12" ht="39.6" x14ac:dyDescent="0.25">
      <c r="A711" s="1"/>
      <c r="B711" s="25"/>
      <c r="C711" s="16" t="s">
        <v>87</v>
      </c>
      <c r="D711" s="16" t="s">
        <v>95</v>
      </c>
      <c r="E711" s="79">
        <v>9980022200</v>
      </c>
      <c r="F711" s="82" t="s">
        <v>205</v>
      </c>
      <c r="G711" s="97" t="s">
        <v>206</v>
      </c>
      <c r="H711" s="39">
        <f>468.9-3-48.6-81</f>
        <v>336.29999999999995</v>
      </c>
      <c r="I711" s="39">
        <v>335.8</v>
      </c>
      <c r="J711" s="93">
        <f t="shared" si="245"/>
        <v>99.9</v>
      </c>
    </row>
    <row r="712" spans="1:12" x14ac:dyDescent="0.25">
      <c r="A712" s="1"/>
      <c r="B712" s="25"/>
      <c r="C712" s="16" t="s">
        <v>87</v>
      </c>
      <c r="D712" s="16" t="s">
        <v>95</v>
      </c>
      <c r="E712" s="79">
        <v>9980022200</v>
      </c>
      <c r="F712" s="82" t="s">
        <v>652</v>
      </c>
      <c r="G712" s="97" t="s">
        <v>653</v>
      </c>
      <c r="H712" s="39">
        <v>3</v>
      </c>
      <c r="I712" s="39">
        <v>3</v>
      </c>
      <c r="J712" s="93">
        <f t="shared" si="245"/>
        <v>100</v>
      </c>
    </row>
    <row r="713" spans="1:12" s="174" customFormat="1" ht="79.2" x14ac:dyDescent="0.25">
      <c r="A713" s="1"/>
      <c r="B713" s="25"/>
      <c r="C713" s="16" t="s">
        <v>87</v>
      </c>
      <c r="D713" s="16" t="s">
        <v>95</v>
      </c>
      <c r="E713" s="173">
        <v>9980055492</v>
      </c>
      <c r="F713" s="82"/>
      <c r="G713" s="172" t="s">
        <v>714</v>
      </c>
      <c r="H713" s="41">
        <f>H714</f>
        <v>209.5</v>
      </c>
      <c r="I713" s="41">
        <f t="shared" ref="I713" si="256">I714</f>
        <v>209.5</v>
      </c>
      <c r="J713" s="93">
        <f t="shared" si="245"/>
        <v>100</v>
      </c>
    </row>
    <row r="714" spans="1:12" s="174" customFormat="1" ht="39.6" x14ac:dyDescent="0.25">
      <c r="A714" s="1"/>
      <c r="B714" s="25"/>
      <c r="C714" s="16" t="s">
        <v>87</v>
      </c>
      <c r="D714" s="16" t="s">
        <v>95</v>
      </c>
      <c r="E714" s="173">
        <v>9980055492</v>
      </c>
      <c r="F714" s="16" t="s">
        <v>63</v>
      </c>
      <c r="G714" s="172" t="s">
        <v>78</v>
      </c>
      <c r="H714" s="41">
        <v>209.5</v>
      </c>
      <c r="I714" s="41">
        <v>209.5</v>
      </c>
      <c r="J714" s="93">
        <f t="shared" si="245"/>
        <v>100</v>
      </c>
    </row>
    <row r="715" spans="1:12" ht="14.4" x14ac:dyDescent="0.3">
      <c r="A715" s="1"/>
      <c r="B715" s="25"/>
      <c r="C715" s="35" t="s">
        <v>87</v>
      </c>
      <c r="D715" s="35" t="s">
        <v>101</v>
      </c>
      <c r="E715" s="35"/>
      <c r="F715" s="35"/>
      <c r="G715" s="27" t="s">
        <v>5</v>
      </c>
      <c r="H715" s="42">
        <f t="shared" ref="H715:I717" si="257">H716</f>
        <v>250</v>
      </c>
      <c r="I715" s="42">
        <f t="shared" si="257"/>
        <v>0</v>
      </c>
      <c r="J715" s="42">
        <f t="shared" si="245"/>
        <v>0</v>
      </c>
    </row>
    <row r="716" spans="1:12" ht="14.4" x14ac:dyDescent="0.3">
      <c r="A716" s="1"/>
      <c r="B716" s="25"/>
      <c r="C716" s="16" t="s">
        <v>87</v>
      </c>
      <c r="D716" s="16" t="s">
        <v>101</v>
      </c>
      <c r="E716" s="79">
        <v>9920000000</v>
      </c>
      <c r="F716" s="35"/>
      <c r="G716" s="124" t="s">
        <v>5</v>
      </c>
      <c r="H716" s="42">
        <f t="shared" si="257"/>
        <v>250</v>
      </c>
      <c r="I716" s="42">
        <f t="shared" si="257"/>
        <v>0</v>
      </c>
      <c r="J716" s="93">
        <f t="shared" si="245"/>
        <v>0</v>
      </c>
    </row>
    <row r="717" spans="1:12" ht="26.4" x14ac:dyDescent="0.25">
      <c r="A717" s="1"/>
      <c r="B717" s="25"/>
      <c r="C717" s="16" t="s">
        <v>87</v>
      </c>
      <c r="D717" s="16" t="s">
        <v>101</v>
      </c>
      <c r="E717" s="79">
        <v>9920026100</v>
      </c>
      <c r="F717" s="21"/>
      <c r="G717" s="98" t="s">
        <v>11</v>
      </c>
      <c r="H717" s="39">
        <f t="shared" si="257"/>
        <v>250</v>
      </c>
      <c r="I717" s="39">
        <f t="shared" si="257"/>
        <v>0</v>
      </c>
      <c r="J717" s="93">
        <f t="shared" si="245"/>
        <v>0</v>
      </c>
    </row>
    <row r="718" spans="1:12" x14ac:dyDescent="0.25">
      <c r="A718" s="1"/>
      <c r="B718" s="25"/>
      <c r="C718" s="16" t="s">
        <v>87</v>
      </c>
      <c r="D718" s="16" t="s">
        <v>101</v>
      </c>
      <c r="E718" s="79">
        <v>9920026100</v>
      </c>
      <c r="F718" s="16" t="s">
        <v>84</v>
      </c>
      <c r="G718" s="97" t="s">
        <v>85</v>
      </c>
      <c r="H718" s="39">
        <f>500+100-50-300</f>
        <v>250</v>
      </c>
      <c r="I718" s="39">
        <v>0</v>
      </c>
      <c r="J718" s="93">
        <f t="shared" si="245"/>
        <v>0</v>
      </c>
    </row>
    <row r="719" spans="1:12" ht="32.25" customHeight="1" x14ac:dyDescent="0.3">
      <c r="B719" s="25"/>
      <c r="C719" s="4" t="s">
        <v>9</v>
      </c>
      <c r="D719" s="5"/>
      <c r="E719" s="144"/>
      <c r="F719" s="144"/>
      <c r="G719" s="49" t="s">
        <v>590</v>
      </c>
      <c r="H719" s="95">
        <f>H720</f>
        <v>25</v>
      </c>
      <c r="I719" s="95">
        <f t="shared" ref="I719:I722" si="258">I720</f>
        <v>25</v>
      </c>
      <c r="J719" s="186">
        <f t="shared" si="245"/>
        <v>100</v>
      </c>
      <c r="L719" s="102"/>
    </row>
    <row r="720" spans="1:12" ht="27" x14ac:dyDescent="0.3">
      <c r="B720" s="25"/>
      <c r="C720" s="47" t="s">
        <v>9</v>
      </c>
      <c r="D720" s="47" t="s">
        <v>87</v>
      </c>
      <c r="E720" s="23"/>
      <c r="F720" s="23"/>
      <c r="G720" s="48" t="s">
        <v>591</v>
      </c>
      <c r="H720" s="92">
        <f>H721</f>
        <v>25</v>
      </c>
      <c r="I720" s="92">
        <f t="shared" si="258"/>
        <v>25</v>
      </c>
      <c r="J720" s="42">
        <f t="shared" si="245"/>
        <v>100</v>
      </c>
    </row>
    <row r="721" spans="2:10" ht="39.6" x14ac:dyDescent="0.25">
      <c r="B721" s="25"/>
      <c r="C721" s="82" t="s">
        <v>9</v>
      </c>
      <c r="D721" s="82" t="s">
        <v>87</v>
      </c>
      <c r="E721" s="82" t="s">
        <v>25</v>
      </c>
      <c r="F721" s="82"/>
      <c r="G721" s="98" t="s">
        <v>39</v>
      </c>
      <c r="H721" s="39">
        <f>H722</f>
        <v>25</v>
      </c>
      <c r="I721" s="39">
        <f t="shared" si="258"/>
        <v>25</v>
      </c>
      <c r="J721" s="93">
        <f t="shared" si="245"/>
        <v>100</v>
      </c>
    </row>
    <row r="722" spans="2:10" ht="26.4" x14ac:dyDescent="0.25">
      <c r="B722" s="25"/>
      <c r="C722" s="82" t="s">
        <v>9</v>
      </c>
      <c r="D722" s="82" t="s">
        <v>87</v>
      </c>
      <c r="E722" s="1">
        <v>9940026500</v>
      </c>
      <c r="F722" s="1"/>
      <c r="G722" s="98" t="s">
        <v>592</v>
      </c>
      <c r="H722" s="39">
        <f>H723</f>
        <v>25</v>
      </c>
      <c r="I722" s="39">
        <f t="shared" si="258"/>
        <v>25</v>
      </c>
      <c r="J722" s="93">
        <f t="shared" si="245"/>
        <v>100</v>
      </c>
    </row>
    <row r="723" spans="2:10" x14ac:dyDescent="0.25">
      <c r="B723" s="25"/>
      <c r="C723" s="82" t="s">
        <v>9</v>
      </c>
      <c r="D723" s="82" t="s">
        <v>87</v>
      </c>
      <c r="E723" s="1">
        <v>9940026500</v>
      </c>
      <c r="F723" s="82" t="s">
        <v>593</v>
      </c>
      <c r="G723" s="1" t="s">
        <v>594</v>
      </c>
      <c r="H723" s="39">
        <f>20.8+4.2</f>
        <v>25</v>
      </c>
      <c r="I723" s="39">
        <f>20.8+4.2</f>
        <v>25</v>
      </c>
      <c r="J723" s="93">
        <f t="shared" si="245"/>
        <v>100</v>
      </c>
    </row>
  </sheetData>
  <mergeCells count="9">
    <mergeCell ref="A8:J8"/>
    <mergeCell ref="E10:E11"/>
    <mergeCell ref="F10:F11"/>
    <mergeCell ref="G10:G11"/>
    <mergeCell ref="C10:C11"/>
    <mergeCell ref="B10:B11"/>
    <mergeCell ref="D10:D11"/>
    <mergeCell ref="H10:I10"/>
    <mergeCell ref="J10:J11"/>
  </mergeCells>
  <phoneticPr fontId="2" type="noConversion"/>
  <pageMargins left="0.75" right="0.75" top="0.9" bottom="1" header="0.5" footer="0.5"/>
  <pageSetup paperSize="9" scale="95" orientation="portrait"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M589"/>
  <sheetViews>
    <sheetView workbookViewId="0">
      <selection activeCell="A7" sqref="A7:F7"/>
    </sheetView>
  </sheetViews>
  <sheetFormatPr defaultColWidth="9.109375" defaultRowHeight="13.2" x14ac:dyDescent="0.25"/>
  <cols>
    <col min="1" max="1" width="11.88671875" customWidth="1"/>
    <col min="2" max="2" width="3.33203125" customWidth="1"/>
    <col min="3" max="3" width="39.6640625" customWidth="1"/>
    <col min="4" max="4" width="11.88671875" customWidth="1"/>
    <col min="5" max="5" width="12" customWidth="1"/>
    <col min="6" max="6" width="8" customWidth="1"/>
    <col min="7" max="7" width="9.5546875" bestFit="1" customWidth="1"/>
  </cols>
  <sheetData>
    <row r="1" spans="1:7" x14ac:dyDescent="0.25">
      <c r="C1" s="87" t="s">
        <v>309</v>
      </c>
    </row>
    <row r="2" spans="1:7" x14ac:dyDescent="0.25">
      <c r="C2" s="87" t="s">
        <v>366</v>
      </c>
    </row>
    <row r="3" spans="1:7" x14ac:dyDescent="0.25">
      <c r="C3" s="87" t="s">
        <v>716</v>
      </c>
    </row>
    <row r="4" spans="1:7" x14ac:dyDescent="0.25">
      <c r="C4" s="87" t="s">
        <v>717</v>
      </c>
    </row>
    <row r="5" spans="1:7" x14ac:dyDescent="0.25">
      <c r="C5" s="87" t="s">
        <v>718</v>
      </c>
    </row>
    <row r="6" spans="1:7" x14ac:dyDescent="0.25">
      <c r="C6" s="85"/>
      <c r="D6" s="44"/>
    </row>
    <row r="7" spans="1:7" ht="64.5" customHeight="1" x14ac:dyDescent="0.25">
      <c r="A7" s="240" t="s">
        <v>807</v>
      </c>
      <c r="B7" s="254"/>
      <c r="C7" s="254"/>
      <c r="D7" s="254"/>
      <c r="E7" s="254"/>
      <c r="F7" s="254"/>
    </row>
    <row r="8" spans="1:7" ht="15" x14ac:dyDescent="0.25">
      <c r="A8" s="108"/>
      <c r="B8" s="109"/>
      <c r="C8" s="109"/>
      <c r="D8" s="109"/>
      <c r="E8" s="109"/>
      <c r="F8" s="109"/>
    </row>
    <row r="9" spans="1:7" x14ac:dyDescent="0.25">
      <c r="D9" s="6"/>
    </row>
    <row r="10" spans="1:7" x14ac:dyDescent="0.25">
      <c r="A10" s="245" t="s">
        <v>118</v>
      </c>
      <c r="B10" s="245" t="s">
        <v>112</v>
      </c>
      <c r="C10" s="252" t="s">
        <v>265</v>
      </c>
      <c r="D10" s="248" t="s">
        <v>28</v>
      </c>
      <c r="E10" s="249"/>
      <c r="F10" s="245" t="s">
        <v>724</v>
      </c>
    </row>
    <row r="11" spans="1:7" ht="39.6" x14ac:dyDescent="0.25">
      <c r="A11" s="246"/>
      <c r="B11" s="246"/>
      <c r="C11" s="253"/>
      <c r="D11" s="177" t="s">
        <v>720</v>
      </c>
      <c r="E11" s="177" t="s">
        <v>723</v>
      </c>
      <c r="F11" s="246"/>
    </row>
    <row r="12" spans="1:7" x14ac:dyDescent="0.25">
      <c r="A12" s="2">
        <v>3</v>
      </c>
      <c r="B12" s="2">
        <v>4</v>
      </c>
      <c r="C12" s="2">
        <v>5</v>
      </c>
      <c r="D12" s="2">
        <v>6</v>
      </c>
      <c r="E12" s="2">
        <v>7</v>
      </c>
      <c r="F12" s="2">
        <v>8</v>
      </c>
    </row>
    <row r="13" spans="1:7" ht="17.399999999999999" x14ac:dyDescent="0.3">
      <c r="A13" s="2"/>
      <c r="B13" s="2"/>
      <c r="C13" s="9" t="s">
        <v>91</v>
      </c>
      <c r="D13" s="154">
        <f>D14+D528</f>
        <v>1249707.1000000001</v>
      </c>
      <c r="E13" s="154">
        <f>E14+E528</f>
        <v>1187853.4000000001</v>
      </c>
      <c r="F13" s="186">
        <f t="shared" ref="F13:F72" si="0">ROUND((E13/D13*100),1)</f>
        <v>95.1</v>
      </c>
    </row>
    <row r="14" spans="1:7" ht="15.6" x14ac:dyDescent="0.3">
      <c r="A14" s="2"/>
      <c r="B14" s="2"/>
      <c r="C14" s="3" t="s">
        <v>355</v>
      </c>
      <c r="D14" s="145">
        <f>D15+D135+D213+D238+D291+D317+D324+D347+D356+D387+D404+D428+D463+D485+D495+D508</f>
        <v>1127308.1000000001</v>
      </c>
      <c r="E14" s="145">
        <f>E15+E135+E213+E238+E291+E317+E324+E347+E356+E387+E404+E428+E463+E485+E495+E508</f>
        <v>1069140.3</v>
      </c>
      <c r="F14" s="186">
        <f t="shared" si="0"/>
        <v>94.8</v>
      </c>
    </row>
    <row r="15" spans="1:7" ht="67.5" customHeight="1" x14ac:dyDescent="0.3">
      <c r="A15" s="73" t="s">
        <v>74</v>
      </c>
      <c r="B15" s="35"/>
      <c r="C15" s="64" t="s">
        <v>559</v>
      </c>
      <c r="D15" s="62">
        <f>D16+D33+D80+D101+D129</f>
        <v>645965.79999999993</v>
      </c>
      <c r="E15" s="62">
        <f>E16+E33+E80+E101+E129</f>
        <v>639971.4</v>
      </c>
      <c r="F15" s="62">
        <f t="shared" si="0"/>
        <v>99.1</v>
      </c>
      <c r="G15" s="102"/>
    </row>
    <row r="16" spans="1:7" ht="27" x14ac:dyDescent="0.3">
      <c r="A16" s="52" t="s">
        <v>75</v>
      </c>
      <c r="B16" s="35"/>
      <c r="C16" s="46" t="s">
        <v>384</v>
      </c>
      <c r="D16" s="58">
        <f>D17+D26+D29</f>
        <v>179617.5</v>
      </c>
      <c r="E16" s="58">
        <f>E17+E26+E29</f>
        <v>174522.70000000004</v>
      </c>
      <c r="F16" s="42">
        <f t="shared" si="0"/>
        <v>97.2</v>
      </c>
      <c r="G16" s="102"/>
    </row>
    <row r="17" spans="1:7" ht="40.200000000000003" x14ac:dyDescent="0.3">
      <c r="A17" s="21" t="s">
        <v>329</v>
      </c>
      <c r="B17" s="35"/>
      <c r="C17" s="96" t="s">
        <v>385</v>
      </c>
      <c r="D17" s="93">
        <f>D18+D20+D22+D24</f>
        <v>166046.69999999998</v>
      </c>
      <c r="E17" s="93">
        <f t="shared" ref="E17" si="1">E18+E20+E22+E24</f>
        <v>166001.80000000002</v>
      </c>
      <c r="F17" s="93">
        <f t="shared" si="0"/>
        <v>100</v>
      </c>
      <c r="G17" s="102"/>
    </row>
    <row r="18" spans="1:7" ht="51" customHeight="1" x14ac:dyDescent="0.25">
      <c r="A18" s="21" t="s">
        <v>375</v>
      </c>
      <c r="B18" s="21"/>
      <c r="C18" s="97" t="s">
        <v>374</v>
      </c>
      <c r="D18" s="93">
        <f>D19</f>
        <v>94481.2</v>
      </c>
      <c r="E18" s="93">
        <f t="shared" ref="E18" si="2">E19</f>
        <v>94481.2</v>
      </c>
      <c r="F18" s="93">
        <f t="shared" si="0"/>
        <v>100</v>
      </c>
      <c r="G18" s="102"/>
    </row>
    <row r="19" spans="1:7" x14ac:dyDescent="0.25">
      <c r="A19" s="21" t="s">
        <v>375</v>
      </c>
      <c r="B19" s="21" t="s">
        <v>219</v>
      </c>
      <c r="C19" s="97" t="s">
        <v>218</v>
      </c>
      <c r="D19" s="1">
        <f>88408.6+2099.9+3857.9+114.8</f>
        <v>94481.2</v>
      </c>
      <c r="E19" s="1">
        <v>94481.2</v>
      </c>
      <c r="F19" s="93">
        <f t="shared" si="0"/>
        <v>100</v>
      </c>
      <c r="G19" s="102"/>
    </row>
    <row r="20" spans="1:7" ht="64.5" customHeight="1" x14ac:dyDescent="0.25">
      <c r="A20" s="129" t="s">
        <v>377</v>
      </c>
      <c r="B20" s="21"/>
      <c r="C20" s="97" t="s">
        <v>376</v>
      </c>
      <c r="D20" s="93">
        <f>D21</f>
        <v>70711.999999999985</v>
      </c>
      <c r="E20" s="93">
        <f t="shared" ref="E20" si="3">E21</f>
        <v>70712</v>
      </c>
      <c r="F20" s="93">
        <f t="shared" si="0"/>
        <v>100</v>
      </c>
      <c r="G20" s="102"/>
    </row>
    <row r="21" spans="1:7" ht="13.8" x14ac:dyDescent="0.25">
      <c r="A21" s="129" t="s">
        <v>377</v>
      </c>
      <c r="B21" s="21" t="s">
        <v>219</v>
      </c>
      <c r="C21" s="97" t="s">
        <v>218</v>
      </c>
      <c r="D21" s="93">
        <f>68790.2+2396.9-466.6-8.5</f>
        <v>70711.999999999985</v>
      </c>
      <c r="E21" s="93">
        <v>70712</v>
      </c>
      <c r="F21" s="93">
        <f t="shared" si="0"/>
        <v>100</v>
      </c>
      <c r="G21" s="102"/>
    </row>
    <row r="22" spans="1:7" ht="52.8" x14ac:dyDescent="0.25">
      <c r="A22" s="159" t="s">
        <v>699</v>
      </c>
      <c r="B22" s="21"/>
      <c r="C22" s="97" t="s">
        <v>700</v>
      </c>
      <c r="D22" s="93">
        <f>D23</f>
        <v>845</v>
      </c>
      <c r="E22" s="93">
        <f t="shared" ref="E22" si="4">E23</f>
        <v>800.5</v>
      </c>
      <c r="F22" s="93">
        <f t="shared" si="0"/>
        <v>94.7</v>
      </c>
      <c r="G22" s="102"/>
    </row>
    <row r="23" spans="1:7" ht="13.8" x14ac:dyDescent="0.25">
      <c r="A23" s="160" t="s">
        <v>699</v>
      </c>
      <c r="B23" s="21" t="s">
        <v>219</v>
      </c>
      <c r="C23" s="97" t="s">
        <v>218</v>
      </c>
      <c r="D23" s="39">
        <v>845</v>
      </c>
      <c r="E23" s="39">
        <v>800.5</v>
      </c>
      <c r="F23" s="93">
        <f t="shared" si="0"/>
        <v>94.7</v>
      </c>
      <c r="G23" s="102"/>
    </row>
    <row r="24" spans="1:7" ht="51.75" customHeight="1" x14ac:dyDescent="0.25">
      <c r="A24" s="159" t="s">
        <v>701</v>
      </c>
      <c r="B24" s="21"/>
      <c r="C24" s="107" t="s">
        <v>702</v>
      </c>
      <c r="D24" s="93">
        <f>D25</f>
        <v>8.5</v>
      </c>
      <c r="E24" s="93">
        <f t="shared" ref="E24" si="5">E25</f>
        <v>8.1</v>
      </c>
      <c r="F24" s="93">
        <f t="shared" si="0"/>
        <v>95.3</v>
      </c>
      <c r="G24" s="102"/>
    </row>
    <row r="25" spans="1:7" ht="13.8" x14ac:dyDescent="0.25">
      <c r="A25" s="159" t="s">
        <v>701</v>
      </c>
      <c r="B25" s="21" t="s">
        <v>219</v>
      </c>
      <c r="C25" s="97" t="s">
        <v>218</v>
      </c>
      <c r="D25" s="1">
        <v>8.5</v>
      </c>
      <c r="E25" s="93">
        <v>8.1</v>
      </c>
      <c r="F25" s="93">
        <f t="shared" si="0"/>
        <v>95.3</v>
      </c>
      <c r="G25" s="102"/>
    </row>
    <row r="26" spans="1:7" ht="26.25" customHeight="1" x14ac:dyDescent="0.3">
      <c r="A26" s="21" t="s">
        <v>276</v>
      </c>
      <c r="B26" s="35"/>
      <c r="C26" s="96" t="s">
        <v>378</v>
      </c>
      <c r="D26" s="93">
        <f>D27</f>
        <v>502.70000000000005</v>
      </c>
      <c r="E26" s="93">
        <f>E27</f>
        <v>502.70000000000005</v>
      </c>
      <c r="F26" s="93">
        <f t="shared" si="0"/>
        <v>100</v>
      </c>
      <c r="G26" s="102"/>
    </row>
    <row r="27" spans="1:7" ht="52.5" customHeight="1" x14ac:dyDescent="0.25">
      <c r="A27" s="21" t="s">
        <v>380</v>
      </c>
      <c r="B27" s="57"/>
      <c r="C27" s="96" t="s">
        <v>379</v>
      </c>
      <c r="D27" s="93">
        <f>D28</f>
        <v>502.70000000000005</v>
      </c>
      <c r="E27" s="93">
        <f t="shared" ref="E27" si="6">E28</f>
        <v>502.70000000000005</v>
      </c>
      <c r="F27" s="93">
        <f t="shared" si="0"/>
        <v>100</v>
      </c>
      <c r="G27" s="102"/>
    </row>
    <row r="28" spans="1:7" x14ac:dyDescent="0.25">
      <c r="A28" s="21" t="s">
        <v>380</v>
      </c>
      <c r="B28" s="21" t="s">
        <v>219</v>
      </c>
      <c r="C28" s="97" t="s">
        <v>218</v>
      </c>
      <c r="D28" s="93">
        <f>227.1+275.6</f>
        <v>502.70000000000005</v>
      </c>
      <c r="E28" s="93">
        <f>227.1+275.6</f>
        <v>502.70000000000005</v>
      </c>
      <c r="F28" s="93">
        <f t="shared" si="0"/>
        <v>100</v>
      </c>
      <c r="G28" s="102"/>
    </row>
    <row r="29" spans="1:7" ht="26.4" x14ac:dyDescent="0.25">
      <c r="A29" s="21" t="s">
        <v>277</v>
      </c>
      <c r="B29" s="21"/>
      <c r="C29" s="96" t="s">
        <v>381</v>
      </c>
      <c r="D29" s="93">
        <f>D30</f>
        <v>13068.1</v>
      </c>
      <c r="E29" s="93">
        <f>E30</f>
        <v>8018.2</v>
      </c>
      <c r="F29" s="93">
        <f t="shared" si="0"/>
        <v>61.4</v>
      </c>
      <c r="G29" s="102"/>
    </row>
    <row r="30" spans="1:7" ht="78.75" customHeight="1" x14ac:dyDescent="0.25">
      <c r="A30" s="57" t="s">
        <v>383</v>
      </c>
      <c r="B30" s="21"/>
      <c r="C30" s="97" t="s">
        <v>382</v>
      </c>
      <c r="D30" s="93">
        <f>D31+D32</f>
        <v>13068.1</v>
      </c>
      <c r="E30" s="93">
        <f>E31+E32</f>
        <v>8018.2</v>
      </c>
      <c r="F30" s="93">
        <f t="shared" si="0"/>
        <v>61.4</v>
      </c>
      <c r="G30" s="102"/>
    </row>
    <row r="31" spans="1:7" ht="39.6" x14ac:dyDescent="0.25">
      <c r="A31" s="57" t="s">
        <v>383</v>
      </c>
      <c r="B31" s="82" t="s">
        <v>205</v>
      </c>
      <c r="C31" s="97" t="s">
        <v>206</v>
      </c>
      <c r="D31" s="93">
        <v>330</v>
      </c>
      <c r="E31" s="93">
        <v>192.4</v>
      </c>
      <c r="F31" s="93">
        <f t="shared" si="0"/>
        <v>58.3</v>
      </c>
      <c r="G31" s="102"/>
    </row>
    <row r="32" spans="1:7" ht="25.5" customHeight="1" x14ac:dyDescent="0.25">
      <c r="A32" s="57" t="s">
        <v>383</v>
      </c>
      <c r="B32" s="82" t="s">
        <v>256</v>
      </c>
      <c r="C32" s="97" t="s">
        <v>245</v>
      </c>
      <c r="D32" s="93">
        <v>12738.1</v>
      </c>
      <c r="E32" s="93">
        <v>7825.8</v>
      </c>
      <c r="F32" s="93">
        <f t="shared" si="0"/>
        <v>61.4</v>
      </c>
      <c r="G32" s="102"/>
    </row>
    <row r="33" spans="1:7" ht="39.6" x14ac:dyDescent="0.25">
      <c r="A33" s="52" t="s">
        <v>76</v>
      </c>
      <c r="B33" s="21"/>
      <c r="C33" s="46" t="s">
        <v>549</v>
      </c>
      <c r="D33" s="58">
        <f>D34+D45+D52+D59+D72+D77</f>
        <v>405536.9</v>
      </c>
      <c r="E33" s="58">
        <f>E34+E45+E52+E59+E72+E77</f>
        <v>404855</v>
      </c>
      <c r="F33" s="58">
        <f t="shared" si="0"/>
        <v>99.8</v>
      </c>
      <c r="G33" s="102"/>
    </row>
    <row r="34" spans="1:7" ht="53.4" x14ac:dyDescent="0.3">
      <c r="A34" s="21" t="s">
        <v>281</v>
      </c>
      <c r="B34" s="35"/>
      <c r="C34" s="96" t="s">
        <v>386</v>
      </c>
      <c r="D34" s="93">
        <f>D35+D37+D39+D41+D43</f>
        <v>353478.60000000003</v>
      </c>
      <c r="E34" s="93">
        <f t="shared" ref="E34" si="7">E35+E37+E39+E41+E43</f>
        <v>353463.60000000003</v>
      </c>
      <c r="F34" s="93">
        <f t="shared" si="0"/>
        <v>100</v>
      </c>
      <c r="G34" s="102"/>
    </row>
    <row r="35" spans="1:7" ht="66.75" customHeight="1" x14ac:dyDescent="0.25">
      <c r="A35" s="82" t="s">
        <v>388</v>
      </c>
      <c r="B35" s="82"/>
      <c r="C35" s="97" t="s">
        <v>387</v>
      </c>
      <c r="D35" s="93">
        <f>D36</f>
        <v>250370.4</v>
      </c>
      <c r="E35" s="93">
        <f>E36</f>
        <v>250370.4</v>
      </c>
      <c r="F35" s="93">
        <f t="shared" si="0"/>
        <v>100</v>
      </c>
      <c r="G35" s="102"/>
    </row>
    <row r="36" spans="1:7" x14ac:dyDescent="0.25">
      <c r="A36" s="57" t="s">
        <v>388</v>
      </c>
      <c r="B36" s="21" t="s">
        <v>219</v>
      </c>
      <c r="C36" s="97" t="s">
        <v>218</v>
      </c>
      <c r="D36" s="39">
        <f>222855.8+14016+13196.5+302.1</f>
        <v>250370.4</v>
      </c>
      <c r="E36" s="39">
        <v>250370.4</v>
      </c>
      <c r="F36" s="93">
        <f t="shared" si="0"/>
        <v>100</v>
      </c>
      <c r="G36" s="102"/>
    </row>
    <row r="37" spans="1:7" ht="66.75" customHeight="1" x14ac:dyDescent="0.25">
      <c r="A37" s="57" t="s">
        <v>389</v>
      </c>
      <c r="B37" s="21"/>
      <c r="C37" s="97" t="s">
        <v>280</v>
      </c>
      <c r="D37" s="93">
        <f>D38</f>
        <v>86546.3</v>
      </c>
      <c r="E37" s="93">
        <f>E38</f>
        <v>86546.3</v>
      </c>
      <c r="F37" s="93">
        <f t="shared" si="0"/>
        <v>100</v>
      </c>
      <c r="G37" s="102"/>
    </row>
    <row r="38" spans="1:7" x14ac:dyDescent="0.25">
      <c r="A38" s="57" t="s">
        <v>389</v>
      </c>
      <c r="B38" s="21" t="s">
        <v>219</v>
      </c>
      <c r="C38" s="97" t="s">
        <v>218</v>
      </c>
      <c r="D38" s="93">
        <f>82839.4+3484.6-6.5+228.8</f>
        <v>86546.3</v>
      </c>
      <c r="E38" s="93">
        <v>86546.3</v>
      </c>
      <c r="F38" s="93">
        <f t="shared" si="0"/>
        <v>100</v>
      </c>
      <c r="G38" s="102"/>
    </row>
    <row r="39" spans="1:7" ht="49.5" customHeight="1" x14ac:dyDescent="0.25">
      <c r="A39" s="57" t="s">
        <v>391</v>
      </c>
      <c r="B39" s="21"/>
      <c r="C39" s="97" t="s">
        <v>390</v>
      </c>
      <c r="D39" s="93">
        <f>D40</f>
        <v>15910.5</v>
      </c>
      <c r="E39" s="93">
        <f>E40</f>
        <v>15910.5</v>
      </c>
      <c r="F39" s="93">
        <f t="shared" si="0"/>
        <v>100</v>
      </c>
      <c r="G39" s="102"/>
    </row>
    <row r="40" spans="1:7" x14ac:dyDescent="0.25">
      <c r="A40" s="21" t="s">
        <v>391</v>
      </c>
      <c r="B40" s="21" t="s">
        <v>219</v>
      </c>
      <c r="C40" s="97" t="s">
        <v>218</v>
      </c>
      <c r="D40" s="1">
        <f>15882.5+28</f>
        <v>15910.5</v>
      </c>
      <c r="E40" s="1">
        <v>15910.5</v>
      </c>
      <c r="F40" s="93">
        <f t="shared" si="0"/>
        <v>100</v>
      </c>
      <c r="G40" s="102"/>
    </row>
    <row r="41" spans="1:7" ht="52.8" x14ac:dyDescent="0.25">
      <c r="A41" s="159" t="s">
        <v>703</v>
      </c>
      <c r="B41" s="21"/>
      <c r="C41" s="107" t="s">
        <v>704</v>
      </c>
      <c r="D41" s="39">
        <f>D42</f>
        <v>644.9</v>
      </c>
      <c r="E41" s="39">
        <f t="shared" ref="E41" si="8">E42</f>
        <v>630</v>
      </c>
      <c r="F41" s="93">
        <f t="shared" si="0"/>
        <v>97.7</v>
      </c>
      <c r="G41" s="102"/>
    </row>
    <row r="42" spans="1:7" ht="13.8" x14ac:dyDescent="0.25">
      <c r="A42" s="159" t="s">
        <v>703</v>
      </c>
      <c r="B42" s="21" t="s">
        <v>219</v>
      </c>
      <c r="C42" s="97" t="s">
        <v>218</v>
      </c>
      <c r="D42" s="1">
        <v>644.9</v>
      </c>
      <c r="E42" s="39">
        <v>630</v>
      </c>
      <c r="F42" s="93">
        <f t="shared" si="0"/>
        <v>97.7</v>
      </c>
      <c r="G42" s="102"/>
    </row>
    <row r="43" spans="1:7" ht="52.5" customHeight="1" x14ac:dyDescent="0.25">
      <c r="A43" s="159" t="s">
        <v>705</v>
      </c>
      <c r="B43" s="21"/>
      <c r="C43" s="107" t="s">
        <v>706</v>
      </c>
      <c r="D43" s="1">
        <f>D44</f>
        <v>6.5</v>
      </c>
      <c r="E43" s="1">
        <f t="shared" ref="E43" si="9">E44</f>
        <v>6.4</v>
      </c>
      <c r="F43" s="93">
        <f t="shared" si="0"/>
        <v>98.5</v>
      </c>
      <c r="G43" s="102"/>
    </row>
    <row r="44" spans="1:7" ht="13.8" x14ac:dyDescent="0.25">
      <c r="A44" s="159" t="s">
        <v>705</v>
      </c>
      <c r="B44" s="21" t="s">
        <v>219</v>
      </c>
      <c r="C44" s="97" t="s">
        <v>218</v>
      </c>
      <c r="D44" s="1">
        <v>6.5</v>
      </c>
      <c r="E44" s="39">
        <v>6.4</v>
      </c>
      <c r="F44" s="93">
        <f t="shared" si="0"/>
        <v>98.5</v>
      </c>
      <c r="G44" s="102"/>
    </row>
    <row r="45" spans="1:7" ht="37.5" customHeight="1" x14ac:dyDescent="0.25">
      <c r="A45" s="21" t="s">
        <v>393</v>
      </c>
      <c r="B45" s="82"/>
      <c r="C45" s="96" t="s">
        <v>392</v>
      </c>
      <c r="D45" s="93">
        <f>D46+D48+D50</f>
        <v>793.6</v>
      </c>
      <c r="E45" s="93">
        <f>E46+E48+E50</f>
        <v>793.6</v>
      </c>
      <c r="F45" s="93">
        <f t="shared" si="0"/>
        <v>100</v>
      </c>
      <c r="G45" s="102"/>
    </row>
    <row r="46" spans="1:7" ht="51" customHeight="1" x14ac:dyDescent="0.25">
      <c r="A46" s="57" t="s">
        <v>394</v>
      </c>
      <c r="B46" s="21"/>
      <c r="C46" s="97" t="s">
        <v>395</v>
      </c>
      <c r="D46" s="93">
        <f>D47</f>
        <v>193.6</v>
      </c>
      <c r="E46" s="93">
        <f>E47</f>
        <v>193.6</v>
      </c>
      <c r="F46" s="93">
        <f t="shared" si="0"/>
        <v>100</v>
      </c>
      <c r="G46" s="102"/>
    </row>
    <row r="47" spans="1:7" x14ac:dyDescent="0.25">
      <c r="A47" s="57" t="s">
        <v>394</v>
      </c>
      <c r="B47" s="21" t="s">
        <v>219</v>
      </c>
      <c r="C47" s="97" t="s">
        <v>218</v>
      </c>
      <c r="D47" s="93">
        <f>273-27.3-52.1</f>
        <v>193.6</v>
      </c>
      <c r="E47" s="93">
        <v>193.6</v>
      </c>
      <c r="F47" s="93">
        <f t="shared" si="0"/>
        <v>100</v>
      </c>
      <c r="G47" s="102"/>
    </row>
    <row r="48" spans="1:7" ht="42" customHeight="1" x14ac:dyDescent="0.25">
      <c r="A48" s="57" t="s">
        <v>604</v>
      </c>
      <c r="B48" s="21"/>
      <c r="C48" s="97" t="s">
        <v>605</v>
      </c>
      <c r="D48" s="93">
        <f>D49</f>
        <v>500</v>
      </c>
      <c r="E48" s="93">
        <f t="shared" ref="E48" si="10">E49</f>
        <v>500</v>
      </c>
      <c r="F48" s="93">
        <f t="shared" si="0"/>
        <v>100</v>
      </c>
      <c r="G48" s="102"/>
    </row>
    <row r="49" spans="1:7" x14ac:dyDescent="0.25">
      <c r="A49" s="57" t="s">
        <v>604</v>
      </c>
      <c r="B49" s="21" t="s">
        <v>219</v>
      </c>
      <c r="C49" s="97" t="s">
        <v>218</v>
      </c>
      <c r="D49" s="93">
        <v>500</v>
      </c>
      <c r="E49" s="93">
        <v>500</v>
      </c>
      <c r="F49" s="93">
        <f t="shared" si="0"/>
        <v>100</v>
      </c>
      <c r="G49" s="102"/>
    </row>
    <row r="50" spans="1:7" ht="39.6" x14ac:dyDescent="0.25">
      <c r="A50" s="156" t="s">
        <v>677</v>
      </c>
      <c r="B50" s="21"/>
      <c r="C50" s="122" t="s">
        <v>678</v>
      </c>
      <c r="D50" s="93">
        <f>D51</f>
        <v>100</v>
      </c>
      <c r="E50" s="93">
        <f t="shared" ref="E50" si="11">E51</f>
        <v>100</v>
      </c>
      <c r="F50" s="93">
        <f t="shared" si="0"/>
        <v>100</v>
      </c>
      <c r="G50" s="102"/>
    </row>
    <row r="51" spans="1:7" x14ac:dyDescent="0.25">
      <c r="A51" s="156" t="s">
        <v>677</v>
      </c>
      <c r="B51" s="21" t="s">
        <v>219</v>
      </c>
      <c r="C51" s="97" t="s">
        <v>218</v>
      </c>
      <c r="D51" s="93">
        <v>100</v>
      </c>
      <c r="E51" s="93">
        <v>100</v>
      </c>
      <c r="F51" s="93">
        <f t="shared" si="0"/>
        <v>100</v>
      </c>
      <c r="G51" s="102"/>
    </row>
    <row r="52" spans="1:7" ht="50.25" customHeight="1" x14ac:dyDescent="0.25">
      <c r="A52" s="21" t="s">
        <v>396</v>
      </c>
      <c r="B52" s="21"/>
      <c r="C52" s="96" t="s">
        <v>398</v>
      </c>
      <c r="D52" s="93">
        <f>D53+D55+D57</f>
        <v>22971.5</v>
      </c>
      <c r="E52" s="93">
        <f>E53+E55+E57</f>
        <v>22971.5</v>
      </c>
      <c r="F52" s="93">
        <f t="shared" si="0"/>
        <v>100</v>
      </c>
      <c r="G52" s="102"/>
    </row>
    <row r="53" spans="1:7" ht="35.25" customHeight="1" x14ac:dyDescent="0.25">
      <c r="A53" s="57" t="s">
        <v>397</v>
      </c>
      <c r="B53" s="21"/>
      <c r="C53" s="97" t="s">
        <v>302</v>
      </c>
      <c r="D53" s="93">
        <f>D54</f>
        <v>5249.9</v>
      </c>
      <c r="E53" s="93">
        <f>E54</f>
        <v>5249.9</v>
      </c>
      <c r="F53" s="93">
        <f t="shared" si="0"/>
        <v>100</v>
      </c>
      <c r="G53" s="102"/>
    </row>
    <row r="54" spans="1:7" x14ac:dyDescent="0.25">
      <c r="A54" s="57" t="s">
        <v>397</v>
      </c>
      <c r="B54" s="21" t="s">
        <v>219</v>
      </c>
      <c r="C54" s="97" t="s">
        <v>218</v>
      </c>
      <c r="D54" s="39">
        <v>5249.9</v>
      </c>
      <c r="E54" s="39">
        <v>5249.9</v>
      </c>
      <c r="F54" s="93">
        <f t="shared" si="0"/>
        <v>100</v>
      </c>
      <c r="G54" s="102"/>
    </row>
    <row r="55" spans="1:7" ht="65.25" customHeight="1" x14ac:dyDescent="0.25">
      <c r="A55" s="21" t="s">
        <v>399</v>
      </c>
      <c r="B55" s="21"/>
      <c r="C55" s="97" t="s">
        <v>133</v>
      </c>
      <c r="D55" s="93">
        <f>D56</f>
        <v>17550.099999999999</v>
      </c>
      <c r="E55" s="93">
        <f>E56</f>
        <v>17550.099999999999</v>
      </c>
      <c r="F55" s="93">
        <f t="shared" si="0"/>
        <v>100</v>
      </c>
      <c r="G55" s="102"/>
    </row>
    <row r="56" spans="1:7" x14ac:dyDescent="0.25">
      <c r="A56" s="21" t="s">
        <v>399</v>
      </c>
      <c r="B56" s="21" t="s">
        <v>219</v>
      </c>
      <c r="C56" s="97" t="s">
        <v>218</v>
      </c>
      <c r="D56" s="93">
        <v>17550.099999999999</v>
      </c>
      <c r="E56" s="93">
        <v>17550.099999999999</v>
      </c>
      <c r="F56" s="93">
        <f t="shared" si="0"/>
        <v>100</v>
      </c>
      <c r="G56" s="102"/>
    </row>
    <row r="57" spans="1:7" ht="52.5" customHeight="1" x14ac:dyDescent="0.25">
      <c r="A57" s="21" t="s">
        <v>400</v>
      </c>
      <c r="B57" s="21"/>
      <c r="C57" s="97" t="s">
        <v>557</v>
      </c>
      <c r="D57" s="93">
        <f>D58</f>
        <v>171.5</v>
      </c>
      <c r="E57" s="93">
        <f>E58</f>
        <v>171.5</v>
      </c>
      <c r="F57" s="93">
        <f t="shared" si="0"/>
        <v>100</v>
      </c>
      <c r="G57" s="102"/>
    </row>
    <row r="58" spans="1:7" x14ac:dyDescent="0.25">
      <c r="A58" s="21" t="s">
        <v>400</v>
      </c>
      <c r="B58" s="21" t="s">
        <v>219</v>
      </c>
      <c r="C58" s="97" t="s">
        <v>218</v>
      </c>
      <c r="D58" s="41">
        <f>175-3.5</f>
        <v>171.5</v>
      </c>
      <c r="E58" s="41">
        <v>171.5</v>
      </c>
      <c r="F58" s="93">
        <f t="shared" si="0"/>
        <v>100</v>
      </c>
      <c r="G58" s="102"/>
    </row>
    <row r="59" spans="1:7" ht="52.8" x14ac:dyDescent="0.25">
      <c r="A59" s="21" t="s">
        <v>401</v>
      </c>
      <c r="B59" s="21"/>
      <c r="C59" s="96" t="s">
        <v>402</v>
      </c>
      <c r="D59" s="41">
        <f>D60+D62+D65+D67+D70</f>
        <v>26968.5</v>
      </c>
      <c r="E59" s="41">
        <f>E60+E62+E65+E67+E70</f>
        <v>26301.600000000002</v>
      </c>
      <c r="F59" s="93">
        <f t="shared" si="0"/>
        <v>97.5</v>
      </c>
      <c r="G59" s="102"/>
    </row>
    <row r="60" spans="1:7" ht="53.25" customHeight="1" x14ac:dyDescent="0.25">
      <c r="A60" s="21" t="s">
        <v>667</v>
      </c>
      <c r="B60" s="82"/>
      <c r="C60" s="55" t="s">
        <v>367</v>
      </c>
      <c r="D60" s="41">
        <f>D61</f>
        <v>18640</v>
      </c>
      <c r="E60" s="41">
        <f>E61</f>
        <v>18640</v>
      </c>
      <c r="F60" s="93">
        <f t="shared" si="0"/>
        <v>100</v>
      </c>
      <c r="G60" s="102"/>
    </row>
    <row r="61" spans="1:7" x14ac:dyDescent="0.25">
      <c r="A61" s="21" t="s">
        <v>667</v>
      </c>
      <c r="B61" s="21" t="s">
        <v>219</v>
      </c>
      <c r="C61" s="97" t="s">
        <v>218</v>
      </c>
      <c r="D61" s="39">
        <v>18640</v>
      </c>
      <c r="E61" s="39">
        <v>18640</v>
      </c>
      <c r="F61" s="93">
        <f t="shared" si="0"/>
        <v>100</v>
      </c>
      <c r="G61" s="102"/>
    </row>
    <row r="62" spans="1:7" ht="25.5" customHeight="1" x14ac:dyDescent="0.25">
      <c r="A62" s="57" t="s">
        <v>545</v>
      </c>
      <c r="B62" s="21"/>
      <c r="C62" s="97" t="s">
        <v>132</v>
      </c>
      <c r="D62" s="41">
        <f>SUM(D63:D64)</f>
        <v>140.4</v>
      </c>
      <c r="E62" s="41">
        <f>SUM(E63:E64)</f>
        <v>140.4</v>
      </c>
      <c r="F62" s="93">
        <f t="shared" si="0"/>
        <v>100</v>
      </c>
      <c r="G62" s="102"/>
    </row>
    <row r="63" spans="1:7" ht="26.25" customHeight="1" x14ac:dyDescent="0.25">
      <c r="A63" s="57" t="s">
        <v>545</v>
      </c>
      <c r="B63" s="82" t="s">
        <v>65</v>
      </c>
      <c r="C63" s="55" t="s">
        <v>128</v>
      </c>
      <c r="D63" s="41">
        <f>88.5-40-26.8</f>
        <v>21.7</v>
      </c>
      <c r="E63" s="41">
        <v>21.7</v>
      </c>
      <c r="F63" s="93">
        <f t="shared" si="0"/>
        <v>100</v>
      </c>
      <c r="G63" s="102"/>
    </row>
    <row r="64" spans="1:7" ht="39.6" x14ac:dyDescent="0.25">
      <c r="A64" s="57" t="s">
        <v>545</v>
      </c>
      <c r="B64" s="82" t="s">
        <v>205</v>
      </c>
      <c r="C64" s="97" t="s">
        <v>206</v>
      </c>
      <c r="D64" s="41">
        <f>94.9-6.2+30</f>
        <v>118.7</v>
      </c>
      <c r="E64" s="41">
        <v>118.7</v>
      </c>
      <c r="F64" s="93">
        <f t="shared" si="0"/>
        <v>100</v>
      </c>
      <c r="G64" s="102"/>
    </row>
    <row r="65" spans="1:13" x14ac:dyDescent="0.25">
      <c r="A65" s="57" t="s">
        <v>403</v>
      </c>
      <c r="B65" s="21"/>
      <c r="C65" s="97" t="s">
        <v>46</v>
      </c>
      <c r="D65" s="41">
        <f>D66</f>
        <v>1506.9</v>
      </c>
      <c r="E65" s="41">
        <f>E66</f>
        <v>1441.7</v>
      </c>
      <c r="F65" s="93">
        <f t="shared" si="0"/>
        <v>95.7</v>
      </c>
      <c r="G65" s="102"/>
    </row>
    <row r="66" spans="1:13" x14ac:dyDescent="0.25">
      <c r="A66" s="57" t="s">
        <v>403</v>
      </c>
      <c r="B66" s="21" t="s">
        <v>219</v>
      </c>
      <c r="C66" s="97" t="s">
        <v>218</v>
      </c>
      <c r="D66" s="41">
        <f>1200.2+306.7</f>
        <v>1506.9</v>
      </c>
      <c r="E66" s="41">
        <v>1441.7</v>
      </c>
      <c r="F66" s="93">
        <f t="shared" si="0"/>
        <v>95.7</v>
      </c>
      <c r="G66" s="102"/>
    </row>
    <row r="67" spans="1:13" ht="39" customHeight="1" x14ac:dyDescent="0.3">
      <c r="A67" s="57" t="s">
        <v>405</v>
      </c>
      <c r="B67" s="21"/>
      <c r="C67" s="97" t="s">
        <v>404</v>
      </c>
      <c r="D67" s="41">
        <f>SUM(D68:D69)</f>
        <v>2341.8000000000002</v>
      </c>
      <c r="E67" s="41">
        <f>SUM(E68:E69)</f>
        <v>1755.2</v>
      </c>
      <c r="F67" s="93">
        <f t="shared" si="0"/>
        <v>75</v>
      </c>
      <c r="G67" s="102"/>
      <c r="J67" s="142"/>
      <c r="K67" s="143"/>
      <c r="L67" s="143"/>
      <c r="M67" s="142"/>
    </row>
    <row r="68" spans="1:13" x14ac:dyDescent="0.25">
      <c r="A68" s="57" t="s">
        <v>405</v>
      </c>
      <c r="B68" s="21" t="s">
        <v>219</v>
      </c>
      <c r="C68" s="97" t="s">
        <v>218</v>
      </c>
      <c r="D68" s="39">
        <v>2141.8000000000002</v>
      </c>
      <c r="E68" s="39">
        <v>1656.4</v>
      </c>
      <c r="F68" s="93">
        <f t="shared" si="0"/>
        <v>77.3</v>
      </c>
      <c r="G68" s="102"/>
    </row>
    <row r="69" spans="1:13" ht="66" x14ac:dyDescent="0.25">
      <c r="A69" s="57" t="s">
        <v>405</v>
      </c>
      <c r="B69" s="16" t="s">
        <v>12</v>
      </c>
      <c r="C69" s="97" t="s">
        <v>361</v>
      </c>
      <c r="D69" s="41">
        <v>200</v>
      </c>
      <c r="E69" s="41">
        <v>98.8</v>
      </c>
      <c r="F69" s="93">
        <f t="shared" si="0"/>
        <v>49.4</v>
      </c>
      <c r="G69" s="102"/>
    </row>
    <row r="70" spans="1:13" ht="54" customHeight="1" x14ac:dyDescent="0.25">
      <c r="A70" s="57" t="s">
        <v>540</v>
      </c>
      <c r="B70" s="16"/>
      <c r="C70" s="97" t="s">
        <v>541</v>
      </c>
      <c r="D70" s="41">
        <f>D71</f>
        <v>4339.3999999999996</v>
      </c>
      <c r="E70" s="41">
        <f t="shared" ref="E70" si="12">E71</f>
        <v>4324.3</v>
      </c>
      <c r="F70" s="93">
        <f t="shared" si="0"/>
        <v>99.7</v>
      </c>
      <c r="G70" s="102"/>
    </row>
    <row r="71" spans="1:13" x14ac:dyDescent="0.25">
      <c r="A71" s="57" t="s">
        <v>540</v>
      </c>
      <c r="B71" s="21" t="s">
        <v>219</v>
      </c>
      <c r="C71" s="97" t="s">
        <v>218</v>
      </c>
      <c r="D71" s="41">
        <f>3968.1+466.6-95.3</f>
        <v>4339.3999999999996</v>
      </c>
      <c r="E71" s="41">
        <v>4324.3</v>
      </c>
      <c r="F71" s="93">
        <f t="shared" si="0"/>
        <v>99.7</v>
      </c>
      <c r="G71" s="102"/>
    </row>
    <row r="72" spans="1:13" ht="39.6" x14ac:dyDescent="0.25">
      <c r="A72" s="57" t="s">
        <v>606</v>
      </c>
      <c r="B72" s="21"/>
      <c r="C72" s="147" t="s">
        <v>607</v>
      </c>
      <c r="D72" s="41">
        <f>D73+D75</f>
        <v>639.29999999999995</v>
      </c>
      <c r="E72" s="41">
        <f t="shared" ref="E72" si="13">E73+E75</f>
        <v>639.29999999999995</v>
      </c>
      <c r="F72" s="93">
        <f t="shared" si="0"/>
        <v>100</v>
      </c>
      <c r="G72" s="102"/>
    </row>
    <row r="73" spans="1:13" ht="66" x14ac:dyDescent="0.25">
      <c r="A73" s="57" t="s">
        <v>666</v>
      </c>
      <c r="B73" s="21"/>
      <c r="C73" s="96" t="s">
        <v>665</v>
      </c>
      <c r="D73" s="41">
        <f>D74</f>
        <v>250</v>
      </c>
      <c r="E73" s="41">
        <f t="shared" ref="E73" si="14">E74</f>
        <v>250</v>
      </c>
      <c r="F73" s="93">
        <f t="shared" ref="F73:F136" si="15">ROUND((E73/D73*100),1)</f>
        <v>100</v>
      </c>
      <c r="G73" s="102"/>
    </row>
    <row r="74" spans="1:13" x14ac:dyDescent="0.25">
      <c r="A74" s="57" t="s">
        <v>666</v>
      </c>
      <c r="B74" s="21" t="s">
        <v>219</v>
      </c>
      <c r="C74" s="97" t="s">
        <v>218</v>
      </c>
      <c r="D74" s="41">
        <v>250</v>
      </c>
      <c r="E74" s="41">
        <v>250</v>
      </c>
      <c r="F74" s="93">
        <f t="shared" si="15"/>
        <v>100</v>
      </c>
      <c r="G74" s="102"/>
    </row>
    <row r="75" spans="1:13" ht="52.8" x14ac:dyDescent="0.25">
      <c r="A75" s="57" t="s">
        <v>673</v>
      </c>
      <c r="B75" s="21"/>
      <c r="C75" s="96" t="s">
        <v>674</v>
      </c>
      <c r="D75" s="41">
        <f>D76</f>
        <v>389.3</v>
      </c>
      <c r="E75" s="41">
        <f t="shared" ref="E75" si="16">E76</f>
        <v>389.3</v>
      </c>
      <c r="F75" s="93">
        <f t="shared" si="15"/>
        <v>100</v>
      </c>
      <c r="G75" s="102"/>
    </row>
    <row r="76" spans="1:13" x14ac:dyDescent="0.25">
      <c r="A76" s="57" t="s">
        <v>673</v>
      </c>
      <c r="B76" s="21" t="s">
        <v>219</v>
      </c>
      <c r="C76" s="97" t="s">
        <v>218</v>
      </c>
      <c r="D76" s="41">
        <v>389.3</v>
      </c>
      <c r="E76" s="41">
        <v>389.3</v>
      </c>
      <c r="F76" s="93">
        <f t="shared" si="15"/>
        <v>100</v>
      </c>
      <c r="G76" s="102"/>
    </row>
    <row r="77" spans="1:13" ht="52.8" x14ac:dyDescent="0.25">
      <c r="A77" s="57" t="s">
        <v>694</v>
      </c>
      <c r="B77" s="21"/>
      <c r="C77" s="97" t="s">
        <v>695</v>
      </c>
      <c r="D77" s="41">
        <f>D78</f>
        <v>685.4</v>
      </c>
      <c r="E77" s="41">
        <f t="shared" ref="E77:E78" si="17">E78</f>
        <v>685.4</v>
      </c>
      <c r="F77" s="93">
        <f t="shared" si="15"/>
        <v>100</v>
      </c>
      <c r="G77" s="102"/>
    </row>
    <row r="78" spans="1:13" ht="66" x14ac:dyDescent="0.25">
      <c r="A78" s="57" t="s">
        <v>692</v>
      </c>
      <c r="B78" s="21"/>
      <c r="C78" s="97" t="s">
        <v>693</v>
      </c>
      <c r="D78" s="1">
        <f>D79</f>
        <v>685.4</v>
      </c>
      <c r="E78" s="1">
        <f t="shared" si="17"/>
        <v>685.4</v>
      </c>
      <c r="F78" s="93">
        <f t="shared" si="15"/>
        <v>100</v>
      </c>
      <c r="G78" s="102"/>
    </row>
    <row r="79" spans="1:13" x14ac:dyDescent="0.25">
      <c r="A79" s="57" t="s">
        <v>692</v>
      </c>
      <c r="B79" s="21" t="s">
        <v>219</v>
      </c>
      <c r="C79" s="97" t="s">
        <v>218</v>
      </c>
      <c r="D79" s="1">
        <v>685.4</v>
      </c>
      <c r="E79" s="1">
        <v>685.4</v>
      </c>
      <c r="F79" s="93">
        <f t="shared" si="15"/>
        <v>100</v>
      </c>
      <c r="G79" s="102"/>
    </row>
    <row r="80" spans="1:13" ht="40.200000000000003" x14ac:dyDescent="0.3">
      <c r="A80" s="52" t="s">
        <v>406</v>
      </c>
      <c r="B80" s="35"/>
      <c r="C80" s="46" t="s">
        <v>407</v>
      </c>
      <c r="D80" s="93">
        <f>D81+D94</f>
        <v>49408.6</v>
      </c>
      <c r="E80" s="93">
        <f>E81+E94</f>
        <v>49393.600000000006</v>
      </c>
      <c r="F80" s="58">
        <f t="shared" si="15"/>
        <v>100</v>
      </c>
      <c r="G80" s="102"/>
    </row>
    <row r="81" spans="1:7" ht="52.8" x14ac:dyDescent="0.25">
      <c r="A81" s="21" t="s">
        <v>411</v>
      </c>
      <c r="B81" s="21"/>
      <c r="C81" s="96" t="s">
        <v>408</v>
      </c>
      <c r="D81" s="41">
        <f>D82+D84+D86+D88+D90+D92</f>
        <v>48213.599999999999</v>
      </c>
      <c r="E81" s="41">
        <f>E82+E84+E86+E88+E90+E92</f>
        <v>48198.600000000006</v>
      </c>
      <c r="F81" s="93">
        <f t="shared" si="15"/>
        <v>100</v>
      </c>
      <c r="G81" s="102"/>
    </row>
    <row r="82" spans="1:7" ht="63" customHeight="1" x14ac:dyDescent="0.25">
      <c r="A82" s="57" t="s">
        <v>410</v>
      </c>
      <c r="B82" s="16"/>
      <c r="C82" s="97" t="s">
        <v>409</v>
      </c>
      <c r="D82" s="93">
        <f>D83</f>
        <v>30540.799999999999</v>
      </c>
      <c r="E82" s="93">
        <f>E83</f>
        <v>30540.799999999999</v>
      </c>
      <c r="F82" s="93">
        <f t="shared" si="15"/>
        <v>100</v>
      </c>
      <c r="G82" s="102"/>
    </row>
    <row r="83" spans="1:7" x14ac:dyDescent="0.25">
      <c r="A83" s="57" t="s">
        <v>410</v>
      </c>
      <c r="B83" s="21" t="s">
        <v>219</v>
      </c>
      <c r="C83" s="97" t="s">
        <v>218</v>
      </c>
      <c r="D83" s="93">
        <f>35352.5+721.3-11440.4+4500-22.4-2.4+1432.2</f>
        <v>30540.799999999999</v>
      </c>
      <c r="E83" s="93">
        <v>30540.799999999999</v>
      </c>
      <c r="F83" s="93">
        <f t="shared" si="15"/>
        <v>100</v>
      </c>
      <c r="G83" s="102"/>
    </row>
    <row r="84" spans="1:7" ht="39.6" x14ac:dyDescent="0.25">
      <c r="A84" s="57" t="s">
        <v>657</v>
      </c>
      <c r="B84" s="21"/>
      <c r="C84" s="97" t="s">
        <v>658</v>
      </c>
      <c r="D84" s="93">
        <f>SUM(D85:D85)</f>
        <v>5837.9000000000015</v>
      </c>
      <c r="E84" s="93">
        <f>SUM(E85:E85)</f>
        <v>5837.9</v>
      </c>
      <c r="F84" s="93">
        <f t="shared" si="15"/>
        <v>100</v>
      </c>
      <c r="G84" s="102"/>
    </row>
    <row r="85" spans="1:7" x14ac:dyDescent="0.25">
      <c r="A85" s="57" t="s">
        <v>657</v>
      </c>
      <c r="B85" s="21" t="s">
        <v>219</v>
      </c>
      <c r="C85" s="97" t="s">
        <v>218</v>
      </c>
      <c r="D85" s="93">
        <f>329.7+10817.4+155.7-4500-964.9</f>
        <v>5837.9000000000015</v>
      </c>
      <c r="E85" s="93">
        <v>5837.9</v>
      </c>
      <c r="F85" s="93">
        <f t="shared" si="15"/>
        <v>100</v>
      </c>
      <c r="G85" s="102"/>
    </row>
    <row r="86" spans="1:7" ht="67.5" customHeight="1" x14ac:dyDescent="0.25">
      <c r="A86" s="57" t="s">
        <v>412</v>
      </c>
      <c r="B86" s="21"/>
      <c r="C86" s="97" t="s">
        <v>413</v>
      </c>
      <c r="D86" s="93">
        <f>D87</f>
        <v>11479.3</v>
      </c>
      <c r="E86" s="93">
        <f>E87</f>
        <v>11479.3</v>
      </c>
      <c r="F86" s="93">
        <f t="shared" si="15"/>
        <v>100</v>
      </c>
      <c r="G86" s="102"/>
    </row>
    <row r="87" spans="1:7" x14ac:dyDescent="0.25">
      <c r="A87" s="57" t="s">
        <v>412</v>
      </c>
      <c r="B87" s="21" t="s">
        <v>219</v>
      </c>
      <c r="C87" s="97" t="s">
        <v>218</v>
      </c>
      <c r="D87" s="130">
        <f>9259.8+1+2218.5</f>
        <v>11479.3</v>
      </c>
      <c r="E87" s="130">
        <v>11479.3</v>
      </c>
      <c r="F87" s="93">
        <f t="shared" si="15"/>
        <v>100</v>
      </c>
      <c r="G87" s="102"/>
    </row>
    <row r="88" spans="1:7" ht="66" customHeight="1" x14ac:dyDescent="0.25">
      <c r="A88" s="57" t="s">
        <v>414</v>
      </c>
      <c r="B88" s="57"/>
      <c r="C88" s="97" t="s">
        <v>415</v>
      </c>
      <c r="D88" s="39">
        <f>D89</f>
        <v>116</v>
      </c>
      <c r="E88" s="39">
        <f>E89</f>
        <v>116</v>
      </c>
      <c r="F88" s="93">
        <f t="shared" si="15"/>
        <v>100</v>
      </c>
      <c r="G88" s="102"/>
    </row>
    <row r="89" spans="1:7" x14ac:dyDescent="0.25">
      <c r="A89" s="21" t="s">
        <v>414</v>
      </c>
      <c r="B89" s="21" t="s">
        <v>219</v>
      </c>
      <c r="C89" s="97" t="s">
        <v>218</v>
      </c>
      <c r="D89" s="41">
        <f>93.6+22.4</f>
        <v>116</v>
      </c>
      <c r="E89" s="41">
        <v>116</v>
      </c>
      <c r="F89" s="93">
        <f t="shared" si="15"/>
        <v>100</v>
      </c>
      <c r="G89" s="102"/>
    </row>
    <row r="90" spans="1:7" ht="52.8" x14ac:dyDescent="0.25">
      <c r="A90" s="21" t="s">
        <v>707</v>
      </c>
      <c r="B90" s="21"/>
      <c r="C90" s="107" t="s">
        <v>708</v>
      </c>
      <c r="D90" s="41">
        <f>D91</f>
        <v>237.2</v>
      </c>
      <c r="E90" s="41">
        <f t="shared" ref="E90" si="18">E91</f>
        <v>222.3</v>
      </c>
      <c r="F90" s="93">
        <f t="shared" si="15"/>
        <v>93.7</v>
      </c>
      <c r="G90" s="102"/>
    </row>
    <row r="91" spans="1:7" x14ac:dyDescent="0.25">
      <c r="A91" s="21" t="s">
        <v>707</v>
      </c>
      <c r="B91" s="21" t="s">
        <v>219</v>
      </c>
      <c r="C91" s="97" t="s">
        <v>218</v>
      </c>
      <c r="D91" s="41">
        <v>237.2</v>
      </c>
      <c r="E91" s="41">
        <v>222.3</v>
      </c>
      <c r="F91" s="93">
        <f t="shared" si="15"/>
        <v>93.7</v>
      </c>
      <c r="G91" s="102"/>
    </row>
    <row r="92" spans="1:7" ht="66" x14ac:dyDescent="0.25">
      <c r="A92" s="21" t="s">
        <v>709</v>
      </c>
      <c r="B92" s="21"/>
      <c r="C92" s="107" t="s">
        <v>710</v>
      </c>
      <c r="D92" s="41">
        <f>D93</f>
        <v>2.4</v>
      </c>
      <c r="E92" s="41">
        <f t="shared" ref="E92" si="19">E93</f>
        <v>2.2999999999999998</v>
      </c>
      <c r="F92" s="93">
        <f t="shared" si="15"/>
        <v>95.8</v>
      </c>
      <c r="G92" s="102"/>
    </row>
    <row r="93" spans="1:7" x14ac:dyDescent="0.25">
      <c r="A93" s="21" t="s">
        <v>709</v>
      </c>
      <c r="B93" s="21" t="s">
        <v>219</v>
      </c>
      <c r="C93" s="97" t="s">
        <v>218</v>
      </c>
      <c r="D93" s="41">
        <v>2.4</v>
      </c>
      <c r="E93" s="41">
        <v>2.2999999999999998</v>
      </c>
      <c r="F93" s="93">
        <f t="shared" si="15"/>
        <v>95.8</v>
      </c>
      <c r="G93" s="102"/>
    </row>
    <row r="94" spans="1:7" ht="25.5" customHeight="1" x14ac:dyDescent="0.25">
      <c r="A94" s="21" t="s">
        <v>417</v>
      </c>
      <c r="B94" s="82"/>
      <c r="C94" s="96" t="s">
        <v>416</v>
      </c>
      <c r="D94" s="41">
        <f>D95+D97+D99</f>
        <v>1195</v>
      </c>
      <c r="E94" s="41">
        <f t="shared" ref="E94" si="20">E95+E97+E99</f>
        <v>1195</v>
      </c>
      <c r="F94" s="93">
        <f t="shared" si="15"/>
        <v>100</v>
      </c>
      <c r="G94" s="102"/>
    </row>
    <row r="95" spans="1:7" ht="52.5" customHeight="1" x14ac:dyDescent="0.25">
      <c r="A95" s="57" t="s">
        <v>548</v>
      </c>
      <c r="B95" s="21"/>
      <c r="C95" s="107" t="s">
        <v>418</v>
      </c>
      <c r="D95" s="93">
        <f>D96</f>
        <v>795</v>
      </c>
      <c r="E95" s="93">
        <f t="shared" ref="E95" si="21">E96</f>
        <v>795</v>
      </c>
      <c r="F95" s="93">
        <f t="shared" si="15"/>
        <v>100</v>
      </c>
      <c r="G95" s="102"/>
    </row>
    <row r="96" spans="1:7" x14ac:dyDescent="0.25">
      <c r="A96" s="57" t="s">
        <v>548</v>
      </c>
      <c r="B96" s="21" t="s">
        <v>219</v>
      </c>
      <c r="C96" s="97" t="s">
        <v>218</v>
      </c>
      <c r="D96" s="93">
        <v>795</v>
      </c>
      <c r="E96" s="93">
        <v>795</v>
      </c>
      <c r="F96" s="93">
        <f t="shared" si="15"/>
        <v>100</v>
      </c>
      <c r="G96" s="102"/>
    </row>
    <row r="97" spans="1:7" ht="25.5" customHeight="1" x14ac:dyDescent="0.25">
      <c r="A97" s="57" t="s">
        <v>419</v>
      </c>
      <c r="B97" s="21"/>
      <c r="C97" s="97" t="s">
        <v>178</v>
      </c>
      <c r="D97" s="41">
        <f>D98</f>
        <v>250</v>
      </c>
      <c r="E97" s="41">
        <f t="shared" ref="E97" si="22">E98</f>
        <v>250</v>
      </c>
      <c r="F97" s="93">
        <f t="shared" si="15"/>
        <v>100</v>
      </c>
      <c r="G97" s="102"/>
    </row>
    <row r="98" spans="1:7" x14ac:dyDescent="0.25">
      <c r="A98" s="57" t="s">
        <v>419</v>
      </c>
      <c r="B98" s="21" t="s">
        <v>219</v>
      </c>
      <c r="C98" s="97" t="s">
        <v>218</v>
      </c>
      <c r="D98" s="41">
        <v>250</v>
      </c>
      <c r="E98" s="41">
        <v>250</v>
      </c>
      <c r="F98" s="93">
        <f t="shared" si="15"/>
        <v>100</v>
      </c>
      <c r="G98" s="102"/>
    </row>
    <row r="99" spans="1:7" ht="27" customHeight="1" x14ac:dyDescent="0.25">
      <c r="A99" s="57" t="s">
        <v>420</v>
      </c>
      <c r="B99" s="21"/>
      <c r="C99" s="97" t="s">
        <v>421</v>
      </c>
      <c r="D99" s="41">
        <f>D100</f>
        <v>150</v>
      </c>
      <c r="E99" s="41">
        <f t="shared" ref="E99" si="23">E100</f>
        <v>150</v>
      </c>
      <c r="F99" s="93">
        <f t="shared" si="15"/>
        <v>100</v>
      </c>
      <c r="G99" s="102"/>
    </row>
    <row r="100" spans="1:7" x14ac:dyDescent="0.25">
      <c r="A100" s="57" t="s">
        <v>420</v>
      </c>
      <c r="B100" s="21" t="s">
        <v>219</v>
      </c>
      <c r="C100" s="97" t="s">
        <v>218</v>
      </c>
      <c r="D100" s="41">
        <v>150</v>
      </c>
      <c r="E100" s="41">
        <v>150</v>
      </c>
      <c r="F100" s="93">
        <f t="shared" si="15"/>
        <v>100</v>
      </c>
      <c r="G100" s="102"/>
    </row>
    <row r="101" spans="1:7" ht="26.25" customHeight="1" x14ac:dyDescent="0.25">
      <c r="A101" s="52" t="s">
        <v>423</v>
      </c>
      <c r="B101" s="82"/>
      <c r="C101" s="46" t="s">
        <v>422</v>
      </c>
      <c r="D101" s="41">
        <f>D102+D109+D116+D126</f>
        <v>2721.1000000000004</v>
      </c>
      <c r="E101" s="41">
        <f>E102+E109+E116+E126</f>
        <v>2522.7000000000003</v>
      </c>
      <c r="F101" s="93">
        <f t="shared" si="15"/>
        <v>92.7</v>
      </c>
      <c r="G101" s="102"/>
    </row>
    <row r="102" spans="1:7" ht="26.25" customHeight="1" x14ac:dyDescent="0.25">
      <c r="A102" s="21" t="s">
        <v>424</v>
      </c>
      <c r="B102" s="21"/>
      <c r="C102" s="96" t="s">
        <v>460</v>
      </c>
      <c r="D102" s="41">
        <f>D103+D105+D107</f>
        <v>285.10000000000002</v>
      </c>
      <c r="E102" s="41">
        <f>E103+E105+E107</f>
        <v>284.3</v>
      </c>
      <c r="F102" s="93">
        <f t="shared" si="15"/>
        <v>99.7</v>
      </c>
      <c r="G102" s="102"/>
    </row>
    <row r="103" spans="1:7" ht="39.6" x14ac:dyDescent="0.25">
      <c r="A103" s="21" t="s">
        <v>546</v>
      </c>
      <c r="B103" s="16"/>
      <c r="C103" s="96" t="s">
        <v>425</v>
      </c>
      <c r="D103" s="39">
        <f>D104</f>
        <v>105.00000000000001</v>
      </c>
      <c r="E103" s="39">
        <f>E104</f>
        <v>105</v>
      </c>
      <c r="F103" s="93">
        <f t="shared" si="15"/>
        <v>100</v>
      </c>
      <c r="G103" s="102"/>
    </row>
    <row r="104" spans="1:7" x14ac:dyDescent="0.25">
      <c r="A104" s="21" t="s">
        <v>546</v>
      </c>
      <c r="B104" s="82" t="s">
        <v>353</v>
      </c>
      <c r="C104" s="97" t="s">
        <v>354</v>
      </c>
      <c r="D104" s="41">
        <f>134.3-29.3</f>
        <v>105.00000000000001</v>
      </c>
      <c r="E104" s="41">
        <v>105</v>
      </c>
      <c r="F104" s="93">
        <f t="shared" si="15"/>
        <v>100</v>
      </c>
      <c r="G104" s="102"/>
    </row>
    <row r="105" spans="1:7" ht="39.75" customHeight="1" x14ac:dyDescent="0.25">
      <c r="A105" s="57" t="s">
        <v>547</v>
      </c>
      <c r="B105" s="16"/>
      <c r="C105" s="97" t="s">
        <v>50</v>
      </c>
      <c r="D105" s="41">
        <f>D106</f>
        <v>130.1</v>
      </c>
      <c r="E105" s="41">
        <f>E106</f>
        <v>130.1</v>
      </c>
      <c r="F105" s="93">
        <f t="shared" si="15"/>
        <v>100</v>
      </c>
      <c r="G105" s="102"/>
    </row>
    <row r="106" spans="1:7" ht="39.6" x14ac:dyDescent="0.25">
      <c r="A106" s="57" t="s">
        <v>547</v>
      </c>
      <c r="B106" s="82" t="s">
        <v>205</v>
      </c>
      <c r="C106" s="97" t="s">
        <v>206</v>
      </c>
      <c r="D106" s="41">
        <f>123.9+6.2</f>
        <v>130.1</v>
      </c>
      <c r="E106" s="41">
        <v>130.1</v>
      </c>
      <c r="F106" s="93">
        <f t="shared" si="15"/>
        <v>100</v>
      </c>
      <c r="G106" s="102"/>
    </row>
    <row r="107" spans="1:7" ht="66" customHeight="1" x14ac:dyDescent="0.25">
      <c r="A107" s="57" t="s">
        <v>542</v>
      </c>
      <c r="B107" s="16"/>
      <c r="C107" s="97" t="s">
        <v>426</v>
      </c>
      <c r="D107" s="41">
        <f>D108</f>
        <v>50</v>
      </c>
      <c r="E107" s="41">
        <f>E108</f>
        <v>49.2</v>
      </c>
      <c r="F107" s="93">
        <f t="shared" si="15"/>
        <v>98.4</v>
      </c>
      <c r="G107" s="102"/>
    </row>
    <row r="108" spans="1:7" x14ac:dyDescent="0.25">
      <c r="A108" s="57" t="s">
        <v>542</v>
      </c>
      <c r="B108" s="21" t="s">
        <v>219</v>
      </c>
      <c r="C108" s="97" t="s">
        <v>218</v>
      </c>
      <c r="D108" s="41">
        <v>50</v>
      </c>
      <c r="E108" s="41">
        <v>49.2</v>
      </c>
      <c r="F108" s="93">
        <f t="shared" si="15"/>
        <v>98.4</v>
      </c>
      <c r="G108" s="102"/>
    </row>
    <row r="109" spans="1:7" ht="39.6" x14ac:dyDescent="0.25">
      <c r="A109" s="21" t="s">
        <v>427</v>
      </c>
      <c r="B109" s="21"/>
      <c r="C109" s="96" t="s">
        <v>428</v>
      </c>
      <c r="D109" s="39">
        <f>D110+D112+D114</f>
        <v>1398.7</v>
      </c>
      <c r="E109" s="39">
        <f>E110+E112+E114</f>
        <v>1201.1000000000001</v>
      </c>
      <c r="F109" s="93">
        <f t="shared" si="15"/>
        <v>85.9</v>
      </c>
      <c r="G109" s="102"/>
    </row>
    <row r="110" spans="1:7" ht="42.75" customHeight="1" x14ac:dyDescent="0.25">
      <c r="A110" s="57" t="s">
        <v>543</v>
      </c>
      <c r="B110" s="16"/>
      <c r="C110" s="97" t="s">
        <v>45</v>
      </c>
      <c r="D110" s="41">
        <f>D111</f>
        <v>209.2</v>
      </c>
      <c r="E110" s="41">
        <f>E111</f>
        <v>193.9</v>
      </c>
      <c r="F110" s="93">
        <f t="shared" si="15"/>
        <v>92.7</v>
      </c>
      <c r="G110" s="102"/>
    </row>
    <row r="111" spans="1:7" x14ac:dyDescent="0.25">
      <c r="A111" s="57" t="s">
        <v>543</v>
      </c>
      <c r="B111" s="21" t="s">
        <v>219</v>
      </c>
      <c r="C111" s="97" t="s">
        <v>218</v>
      </c>
      <c r="D111" s="93">
        <f>250-40.8</f>
        <v>209.2</v>
      </c>
      <c r="E111" s="93">
        <v>193.9</v>
      </c>
      <c r="F111" s="93">
        <f t="shared" si="15"/>
        <v>92.7</v>
      </c>
      <c r="G111" s="102"/>
    </row>
    <row r="112" spans="1:7" ht="42" customHeight="1" x14ac:dyDescent="0.25">
      <c r="A112" s="57" t="s">
        <v>544</v>
      </c>
      <c r="B112" s="16"/>
      <c r="C112" s="54" t="s">
        <v>502</v>
      </c>
      <c r="D112" s="93">
        <f>D113</f>
        <v>37.499999999999993</v>
      </c>
      <c r="E112" s="93">
        <f>E113</f>
        <v>37.5</v>
      </c>
      <c r="F112" s="93">
        <f t="shared" si="15"/>
        <v>100</v>
      </c>
      <c r="G112" s="102"/>
    </row>
    <row r="113" spans="1:7" x14ac:dyDescent="0.25">
      <c r="A113" s="57" t="s">
        <v>544</v>
      </c>
      <c r="B113" s="21" t="s">
        <v>219</v>
      </c>
      <c r="C113" s="97" t="s">
        <v>218</v>
      </c>
      <c r="D113" s="93">
        <f>71.1-15.1-18.5</f>
        <v>37.499999999999993</v>
      </c>
      <c r="E113" s="93">
        <v>37.5</v>
      </c>
      <c r="F113" s="93">
        <f t="shared" si="15"/>
        <v>100</v>
      </c>
      <c r="G113" s="102"/>
    </row>
    <row r="114" spans="1:7" ht="91.5" customHeight="1" x14ac:dyDescent="0.25">
      <c r="A114" s="80">
        <v>140210560</v>
      </c>
      <c r="B114" s="82"/>
      <c r="C114" s="97" t="s">
        <v>177</v>
      </c>
      <c r="D114" s="41">
        <f>D115</f>
        <v>1152</v>
      </c>
      <c r="E114" s="41">
        <f>E115</f>
        <v>969.7</v>
      </c>
      <c r="F114" s="93">
        <f t="shared" si="15"/>
        <v>84.2</v>
      </c>
      <c r="G114" s="102"/>
    </row>
    <row r="115" spans="1:7" ht="26.4" x14ac:dyDescent="0.25">
      <c r="A115" s="80">
        <v>140210560</v>
      </c>
      <c r="B115" s="82" t="s">
        <v>273</v>
      </c>
      <c r="C115" s="97" t="s">
        <v>274</v>
      </c>
      <c r="D115" s="39">
        <v>1152</v>
      </c>
      <c r="E115" s="39">
        <v>969.7</v>
      </c>
      <c r="F115" s="93">
        <f t="shared" si="15"/>
        <v>84.2</v>
      </c>
      <c r="G115" s="102"/>
    </row>
    <row r="116" spans="1:7" ht="39.6" x14ac:dyDescent="0.25">
      <c r="A116" s="21" t="s">
        <v>429</v>
      </c>
      <c r="B116" s="21"/>
      <c r="C116" s="96" t="s">
        <v>430</v>
      </c>
      <c r="D116" s="41">
        <f>D117+D119+D122+D124</f>
        <v>910.5</v>
      </c>
      <c r="E116" s="41">
        <f>E117+E119+E122+E124</f>
        <v>910.5</v>
      </c>
      <c r="F116" s="93">
        <f t="shared" si="15"/>
        <v>100</v>
      </c>
      <c r="G116" s="102"/>
    </row>
    <row r="117" spans="1:7" ht="63" customHeight="1" x14ac:dyDescent="0.25">
      <c r="A117" s="80">
        <v>140323020</v>
      </c>
      <c r="B117" s="82"/>
      <c r="C117" s="97" t="s">
        <v>131</v>
      </c>
      <c r="D117" s="41">
        <f>D118</f>
        <v>330.20000000000005</v>
      </c>
      <c r="E117" s="41">
        <f>E118</f>
        <v>330.2</v>
      </c>
      <c r="F117" s="93">
        <f t="shared" si="15"/>
        <v>100</v>
      </c>
      <c r="G117" s="102"/>
    </row>
    <row r="118" spans="1:7" ht="39.6" x14ac:dyDescent="0.25">
      <c r="A118" s="80">
        <v>140323020</v>
      </c>
      <c r="B118" s="82" t="s">
        <v>205</v>
      </c>
      <c r="C118" s="97" t="s">
        <v>206</v>
      </c>
      <c r="D118" s="41">
        <f>112+140.5+44.1+15.1+18.5</f>
        <v>330.20000000000005</v>
      </c>
      <c r="E118" s="41">
        <v>330.2</v>
      </c>
      <c r="F118" s="93">
        <f t="shared" si="15"/>
        <v>100</v>
      </c>
      <c r="G118" s="102"/>
    </row>
    <row r="119" spans="1:7" ht="68.25" customHeight="1" x14ac:dyDescent="0.25">
      <c r="A119" s="80">
        <v>140323025</v>
      </c>
      <c r="B119" s="82"/>
      <c r="C119" s="97" t="s">
        <v>431</v>
      </c>
      <c r="D119" s="41">
        <f>SUM(D120:D121)</f>
        <v>332.3</v>
      </c>
      <c r="E119" s="41">
        <f t="shared" ref="E119" si="24">SUM(E120:E121)</f>
        <v>332.3</v>
      </c>
      <c r="F119" s="93">
        <f t="shared" si="15"/>
        <v>100</v>
      </c>
      <c r="G119" s="102"/>
    </row>
    <row r="120" spans="1:7" ht="42" customHeight="1" x14ac:dyDescent="0.25">
      <c r="A120" s="80">
        <v>140323025</v>
      </c>
      <c r="B120" s="82" t="s">
        <v>205</v>
      </c>
      <c r="C120" s="97" t="s">
        <v>206</v>
      </c>
      <c r="D120" s="41">
        <f>322.3-35-5+10</f>
        <v>292.3</v>
      </c>
      <c r="E120" s="41">
        <v>292.3</v>
      </c>
      <c r="F120" s="93">
        <f t="shared" si="15"/>
        <v>100</v>
      </c>
      <c r="G120" s="102"/>
    </row>
    <row r="121" spans="1:7" x14ac:dyDescent="0.25">
      <c r="A121" s="80">
        <v>140323025</v>
      </c>
      <c r="B121" s="82" t="s">
        <v>635</v>
      </c>
      <c r="C121" s="97" t="s">
        <v>636</v>
      </c>
      <c r="D121" s="41">
        <f>35+5</f>
        <v>40</v>
      </c>
      <c r="E121" s="41">
        <f>35+5</f>
        <v>40</v>
      </c>
      <c r="F121" s="93">
        <f t="shared" si="15"/>
        <v>100</v>
      </c>
      <c r="G121" s="102"/>
    </row>
    <row r="122" spans="1:7" ht="54.75" customHeight="1" x14ac:dyDescent="0.25">
      <c r="A122" s="80" t="s">
        <v>432</v>
      </c>
      <c r="B122" s="82"/>
      <c r="C122" s="97" t="s">
        <v>433</v>
      </c>
      <c r="D122" s="41">
        <f>D123</f>
        <v>45.9</v>
      </c>
      <c r="E122" s="41">
        <f>E123</f>
        <v>45.9</v>
      </c>
      <c r="F122" s="93">
        <f t="shared" si="15"/>
        <v>100</v>
      </c>
      <c r="G122" s="102"/>
    </row>
    <row r="123" spans="1:7" ht="39.6" x14ac:dyDescent="0.25">
      <c r="A123" s="80" t="s">
        <v>432</v>
      </c>
      <c r="B123" s="82" t="s">
        <v>205</v>
      </c>
      <c r="C123" s="97" t="s">
        <v>206</v>
      </c>
      <c r="D123" s="41">
        <f>90-44.1</f>
        <v>45.9</v>
      </c>
      <c r="E123" s="41">
        <v>45.9</v>
      </c>
      <c r="F123" s="93">
        <f t="shared" si="15"/>
        <v>100</v>
      </c>
      <c r="G123" s="102"/>
    </row>
    <row r="124" spans="1:7" ht="26.25" customHeight="1" x14ac:dyDescent="0.25">
      <c r="A124" s="80">
        <v>140311080</v>
      </c>
      <c r="B124" s="82"/>
      <c r="C124" s="97" t="s">
        <v>434</v>
      </c>
      <c r="D124" s="41">
        <f>D125</f>
        <v>202.1</v>
      </c>
      <c r="E124" s="41">
        <f>E125</f>
        <v>202.1</v>
      </c>
      <c r="F124" s="93">
        <f t="shared" si="15"/>
        <v>100</v>
      </c>
      <c r="G124" s="102"/>
    </row>
    <row r="125" spans="1:7" ht="39.6" x14ac:dyDescent="0.25">
      <c r="A125" s="80">
        <v>140311080</v>
      </c>
      <c r="B125" s="82" t="s">
        <v>205</v>
      </c>
      <c r="C125" s="97" t="s">
        <v>206</v>
      </c>
      <c r="D125" s="39">
        <v>202.1</v>
      </c>
      <c r="E125" s="39">
        <v>202.1</v>
      </c>
      <c r="F125" s="93">
        <f t="shared" si="15"/>
        <v>100</v>
      </c>
      <c r="G125" s="102"/>
    </row>
    <row r="126" spans="1:7" ht="26.4" x14ac:dyDescent="0.25">
      <c r="A126" s="21" t="s">
        <v>681</v>
      </c>
      <c r="B126" s="82"/>
      <c r="C126" s="157" t="s">
        <v>682</v>
      </c>
      <c r="D126" s="39">
        <f>D127</f>
        <v>126.8</v>
      </c>
      <c r="E126" s="39">
        <f t="shared" ref="E126" si="25">E127</f>
        <v>126.8</v>
      </c>
      <c r="F126" s="93">
        <f t="shared" si="15"/>
        <v>100</v>
      </c>
      <c r="G126" s="102"/>
    </row>
    <row r="127" spans="1:7" ht="52.8" x14ac:dyDescent="0.25">
      <c r="A127" s="21" t="s">
        <v>679</v>
      </c>
      <c r="B127" s="82"/>
      <c r="C127" s="128" t="s">
        <v>680</v>
      </c>
      <c r="D127" s="39">
        <f>D128</f>
        <v>126.8</v>
      </c>
      <c r="E127" s="39">
        <f>E128</f>
        <v>126.8</v>
      </c>
      <c r="F127" s="93">
        <f t="shared" si="15"/>
        <v>100</v>
      </c>
      <c r="G127" s="102"/>
    </row>
    <row r="128" spans="1:7" ht="39.6" x14ac:dyDescent="0.25">
      <c r="A128" s="21" t="s">
        <v>679</v>
      </c>
      <c r="B128" s="82" t="s">
        <v>205</v>
      </c>
      <c r="C128" s="97" t="s">
        <v>206</v>
      </c>
      <c r="D128" s="39">
        <f>120+6.8</f>
        <v>126.8</v>
      </c>
      <c r="E128" s="39">
        <v>126.8</v>
      </c>
      <c r="F128" s="93">
        <f t="shared" si="15"/>
        <v>100</v>
      </c>
      <c r="G128" s="102"/>
    </row>
    <row r="129" spans="1:7" x14ac:dyDescent="0.25">
      <c r="A129" s="52" t="s">
        <v>77</v>
      </c>
      <c r="B129" s="16"/>
      <c r="C129" s="66" t="s">
        <v>47</v>
      </c>
      <c r="D129" s="92">
        <f>D130+D133</f>
        <v>8681.7000000000007</v>
      </c>
      <c r="E129" s="92">
        <f t="shared" ref="E129" si="26">E130+E133</f>
        <v>8677.4</v>
      </c>
      <c r="F129" s="58">
        <f t="shared" si="15"/>
        <v>100</v>
      </c>
      <c r="G129" s="102"/>
    </row>
    <row r="130" spans="1:7" ht="51" customHeight="1" x14ac:dyDescent="0.25">
      <c r="A130" s="80">
        <v>190022200</v>
      </c>
      <c r="B130" s="82"/>
      <c r="C130" s="97" t="s">
        <v>435</v>
      </c>
      <c r="D130" s="41">
        <f>SUM(D131:D132)</f>
        <v>8532.1</v>
      </c>
      <c r="E130" s="41">
        <f>SUM(E131:E132)</f>
        <v>8527.7999999999993</v>
      </c>
      <c r="F130" s="93">
        <f t="shared" si="15"/>
        <v>99.9</v>
      </c>
      <c r="G130" s="102"/>
    </row>
    <row r="131" spans="1:7" ht="26.4" x14ac:dyDescent="0.25">
      <c r="A131" s="80">
        <v>190022200</v>
      </c>
      <c r="B131" s="16" t="s">
        <v>63</v>
      </c>
      <c r="C131" s="55" t="s">
        <v>64</v>
      </c>
      <c r="D131" s="41">
        <f>4887.2+592.5+1638.9+711.9+248.5</f>
        <v>8079</v>
      </c>
      <c r="E131" s="41">
        <v>8079</v>
      </c>
      <c r="F131" s="93">
        <f t="shared" si="15"/>
        <v>100</v>
      </c>
      <c r="G131" s="102"/>
    </row>
    <row r="132" spans="1:7" ht="39.6" x14ac:dyDescent="0.25">
      <c r="A132" s="80">
        <v>190022200</v>
      </c>
      <c r="B132" s="82" t="s">
        <v>205</v>
      </c>
      <c r="C132" s="97" t="s">
        <v>206</v>
      </c>
      <c r="D132" s="41">
        <f>453.1</f>
        <v>453.1</v>
      </c>
      <c r="E132" s="41">
        <v>448.8</v>
      </c>
      <c r="F132" s="93">
        <f t="shared" si="15"/>
        <v>99.1</v>
      </c>
      <c r="G132" s="102"/>
    </row>
    <row r="133" spans="1:7" s="174" customFormat="1" ht="66" x14ac:dyDescent="0.25">
      <c r="A133" s="80">
        <v>190055492</v>
      </c>
      <c r="B133" s="82"/>
      <c r="C133" s="172" t="s">
        <v>714</v>
      </c>
      <c r="D133" s="41">
        <f>D134</f>
        <v>149.6</v>
      </c>
      <c r="E133" s="41">
        <f t="shared" ref="E133" si="27">E134</f>
        <v>149.6</v>
      </c>
      <c r="F133" s="93">
        <f t="shared" si="15"/>
        <v>100</v>
      </c>
      <c r="G133" s="102"/>
    </row>
    <row r="134" spans="1:7" s="174" customFormat="1" ht="26.4" x14ac:dyDescent="0.25">
      <c r="A134" s="80">
        <v>190055492</v>
      </c>
      <c r="B134" s="16" t="s">
        <v>63</v>
      </c>
      <c r="C134" s="172" t="s">
        <v>78</v>
      </c>
      <c r="D134" s="41">
        <v>149.6</v>
      </c>
      <c r="E134" s="41">
        <v>149.6</v>
      </c>
      <c r="F134" s="93">
        <f t="shared" si="15"/>
        <v>100</v>
      </c>
      <c r="G134" s="102"/>
    </row>
    <row r="135" spans="1:7" ht="78" customHeight="1" x14ac:dyDescent="0.3">
      <c r="A135" s="73" t="s">
        <v>60</v>
      </c>
      <c r="B135" s="35"/>
      <c r="C135" s="53" t="s">
        <v>560</v>
      </c>
      <c r="D135" s="65">
        <f>D136+D178+D193+D207</f>
        <v>117046.39999999999</v>
      </c>
      <c r="E135" s="65">
        <f>E136+E178+E193+E207</f>
        <v>116887.29999999999</v>
      </c>
      <c r="F135" s="186">
        <f t="shared" si="15"/>
        <v>99.9</v>
      </c>
      <c r="G135" s="102"/>
    </row>
    <row r="136" spans="1:7" ht="27" x14ac:dyDescent="0.3">
      <c r="A136" s="21" t="s">
        <v>61</v>
      </c>
      <c r="B136" s="35"/>
      <c r="C136" s="48" t="s">
        <v>166</v>
      </c>
      <c r="D136" s="58">
        <f>D137+D154+D165+D170+D175</f>
        <v>96992.7</v>
      </c>
      <c r="E136" s="58">
        <f>E137+E154+E165+E170+E175</f>
        <v>96840.699999999983</v>
      </c>
      <c r="F136" s="42">
        <f t="shared" si="15"/>
        <v>99.8</v>
      </c>
      <c r="G136" s="102"/>
    </row>
    <row r="137" spans="1:7" ht="39.6" x14ac:dyDescent="0.3">
      <c r="A137" s="21" t="s">
        <v>202</v>
      </c>
      <c r="B137" s="35"/>
      <c r="C137" s="100" t="s">
        <v>207</v>
      </c>
      <c r="D137" s="93">
        <f>D138+D142+D144+D147+D150+D152</f>
        <v>78917.2</v>
      </c>
      <c r="E137" s="93">
        <f t="shared" ref="E137" si="28">E138+E142+E144+E147+E150+E152</f>
        <v>78765.299999999988</v>
      </c>
      <c r="F137" s="93">
        <f t="shared" ref="F137:F197" si="29">ROUND((E137/D137*100),1)</f>
        <v>99.8</v>
      </c>
      <c r="G137" s="102"/>
    </row>
    <row r="138" spans="1:7" ht="26.4" x14ac:dyDescent="0.25">
      <c r="A138" s="74">
        <v>210122900</v>
      </c>
      <c r="B138" s="16"/>
      <c r="C138" s="98" t="s">
        <v>165</v>
      </c>
      <c r="D138" s="39">
        <f>SUM(D139:D141)</f>
        <v>14462.900000000001</v>
      </c>
      <c r="E138" s="39">
        <f t="shared" ref="E138" si="30">SUM(E139:E141)</f>
        <v>14311</v>
      </c>
      <c r="F138" s="93">
        <f t="shared" si="29"/>
        <v>98.9</v>
      </c>
      <c r="G138" s="102"/>
    </row>
    <row r="139" spans="1:7" ht="26.4" x14ac:dyDescent="0.25">
      <c r="A139" s="74">
        <v>210122900</v>
      </c>
      <c r="B139" s="82" t="s">
        <v>65</v>
      </c>
      <c r="C139" s="55" t="s">
        <v>128</v>
      </c>
      <c r="D139" s="39">
        <f>5408.8-17.4-1.5-21.4</f>
        <v>5368.5000000000009</v>
      </c>
      <c r="E139" s="39">
        <v>5355.6</v>
      </c>
      <c r="F139" s="93">
        <f t="shared" si="29"/>
        <v>99.8</v>
      </c>
      <c r="G139" s="102"/>
    </row>
    <row r="140" spans="1:7" ht="39.6" x14ac:dyDescent="0.25">
      <c r="A140" s="74">
        <v>210122900</v>
      </c>
      <c r="B140" s="82" t="s">
        <v>205</v>
      </c>
      <c r="C140" s="97" t="s">
        <v>206</v>
      </c>
      <c r="D140" s="39">
        <f>5956.5+2577.4+502.4-13.4+70</f>
        <v>9092.9</v>
      </c>
      <c r="E140" s="39">
        <v>8953.9</v>
      </c>
      <c r="F140" s="93">
        <f t="shared" si="29"/>
        <v>98.5</v>
      </c>
      <c r="G140" s="102"/>
    </row>
    <row r="141" spans="1:7" x14ac:dyDescent="0.25">
      <c r="A141" s="74">
        <v>210122900</v>
      </c>
      <c r="B141" s="82" t="s">
        <v>129</v>
      </c>
      <c r="C141" s="97" t="s">
        <v>130</v>
      </c>
      <c r="D141" s="39">
        <v>1.5</v>
      </c>
      <c r="E141" s="39">
        <v>1.5</v>
      </c>
      <c r="F141" s="93">
        <f t="shared" si="29"/>
        <v>100</v>
      </c>
      <c r="G141" s="102"/>
    </row>
    <row r="142" spans="1:7" ht="52.8" x14ac:dyDescent="0.25">
      <c r="A142" s="74">
        <v>210121100</v>
      </c>
      <c r="B142" s="16"/>
      <c r="C142" s="98" t="s">
        <v>167</v>
      </c>
      <c r="D142" s="39">
        <f>D143</f>
        <v>33743.699999999997</v>
      </c>
      <c r="E142" s="39">
        <f>E143</f>
        <v>33743.699999999997</v>
      </c>
      <c r="F142" s="93">
        <f t="shared" si="29"/>
        <v>100</v>
      </c>
      <c r="G142" s="102"/>
    </row>
    <row r="143" spans="1:7" x14ac:dyDescent="0.25">
      <c r="A143" s="74">
        <v>210121100</v>
      </c>
      <c r="B143" s="21" t="s">
        <v>219</v>
      </c>
      <c r="C143" s="97" t="s">
        <v>218</v>
      </c>
      <c r="D143" s="39">
        <f>33945.3-18.5-109.8-25-48.3</f>
        <v>33743.699999999997</v>
      </c>
      <c r="E143" s="1">
        <v>33743.699999999997</v>
      </c>
      <c r="F143" s="93">
        <f t="shared" si="29"/>
        <v>100</v>
      </c>
      <c r="G143" s="102"/>
    </row>
    <row r="144" spans="1:7" ht="39.6" x14ac:dyDescent="0.25">
      <c r="A144" s="74" t="s">
        <v>436</v>
      </c>
      <c r="B144" s="82"/>
      <c r="C144" s="97" t="s">
        <v>310</v>
      </c>
      <c r="D144" s="39">
        <f>SUM(D145:D146)</f>
        <v>305.60000000000002</v>
      </c>
      <c r="E144" s="39">
        <f>SUM(E145:E146)</f>
        <v>305.60000000000002</v>
      </c>
      <c r="F144" s="93">
        <f t="shared" si="29"/>
        <v>100</v>
      </c>
      <c r="G144" s="102"/>
    </row>
    <row r="145" spans="1:7" ht="26.4" x14ac:dyDescent="0.25">
      <c r="A145" s="74" t="s">
        <v>436</v>
      </c>
      <c r="B145" s="82" t="s">
        <v>65</v>
      </c>
      <c r="C145" s="55" t="s">
        <v>128</v>
      </c>
      <c r="D145" s="39">
        <f>50+17.4+21.4</f>
        <v>88.800000000000011</v>
      </c>
      <c r="E145" s="39">
        <v>88.8</v>
      </c>
      <c r="F145" s="93">
        <f t="shared" si="29"/>
        <v>100</v>
      </c>
      <c r="G145" s="102"/>
    </row>
    <row r="146" spans="1:7" x14ac:dyDescent="0.25">
      <c r="A146" s="74" t="s">
        <v>436</v>
      </c>
      <c r="B146" s="21" t="s">
        <v>219</v>
      </c>
      <c r="C146" s="97" t="s">
        <v>218</v>
      </c>
      <c r="D146" s="39">
        <f>150+18.5+48.3</f>
        <v>216.8</v>
      </c>
      <c r="E146" s="39">
        <v>216.8</v>
      </c>
      <c r="F146" s="93">
        <f t="shared" si="29"/>
        <v>100</v>
      </c>
      <c r="G146" s="102"/>
    </row>
    <row r="147" spans="1:7" ht="52.8" x14ac:dyDescent="0.25">
      <c r="A147" s="74">
        <v>210110680</v>
      </c>
      <c r="B147" s="82"/>
      <c r="C147" s="97" t="s">
        <v>349</v>
      </c>
      <c r="D147" s="39">
        <f>SUM(D148:D149)</f>
        <v>30251.600000000002</v>
      </c>
      <c r="E147" s="39">
        <f t="shared" ref="E147" si="31">SUM(E148:E149)</f>
        <v>30251.599999999999</v>
      </c>
      <c r="F147" s="93">
        <f t="shared" si="29"/>
        <v>100</v>
      </c>
      <c r="G147" s="102"/>
    </row>
    <row r="148" spans="1:7" ht="26.4" x14ac:dyDescent="0.25">
      <c r="A148" s="74">
        <v>210110680</v>
      </c>
      <c r="B148" s="82" t="s">
        <v>65</v>
      </c>
      <c r="C148" s="55" t="s">
        <v>128</v>
      </c>
      <c r="D148" s="39">
        <f>6672.7+2118.3</f>
        <v>8791</v>
      </c>
      <c r="E148" s="39">
        <v>8791</v>
      </c>
      <c r="F148" s="93">
        <f t="shared" si="29"/>
        <v>100</v>
      </c>
      <c r="G148" s="102"/>
    </row>
    <row r="149" spans="1:7" x14ac:dyDescent="0.25">
      <c r="A149" s="74">
        <v>210110680</v>
      </c>
      <c r="B149" s="21" t="s">
        <v>219</v>
      </c>
      <c r="C149" s="97" t="s">
        <v>218</v>
      </c>
      <c r="D149" s="39">
        <f>16681.9+4778.7</f>
        <v>21460.600000000002</v>
      </c>
      <c r="E149" s="39">
        <v>21460.6</v>
      </c>
      <c r="F149" s="93">
        <f t="shared" si="29"/>
        <v>100</v>
      </c>
      <c r="G149" s="102"/>
    </row>
    <row r="150" spans="1:7" ht="39.6" x14ac:dyDescent="0.25">
      <c r="A150" s="74" t="s">
        <v>675</v>
      </c>
      <c r="B150" s="21"/>
      <c r="C150" s="54" t="s">
        <v>676</v>
      </c>
      <c r="D150" s="39">
        <f>D151</f>
        <v>133.4</v>
      </c>
      <c r="E150" s="39">
        <f t="shared" ref="E150" si="32">E151</f>
        <v>133.4</v>
      </c>
      <c r="F150" s="93">
        <f t="shared" si="29"/>
        <v>100</v>
      </c>
      <c r="G150" s="102"/>
    </row>
    <row r="151" spans="1:7" ht="39.6" x14ac:dyDescent="0.25">
      <c r="A151" s="74" t="s">
        <v>675</v>
      </c>
      <c r="B151" s="82" t="s">
        <v>205</v>
      </c>
      <c r="C151" s="97" t="s">
        <v>206</v>
      </c>
      <c r="D151" s="39">
        <f>120+13.4</f>
        <v>133.4</v>
      </c>
      <c r="E151" s="39">
        <v>133.4</v>
      </c>
      <c r="F151" s="93">
        <f t="shared" si="29"/>
        <v>100</v>
      </c>
      <c r="G151" s="102"/>
    </row>
    <row r="152" spans="1:7" ht="39.6" x14ac:dyDescent="0.25">
      <c r="A152" s="156" t="s">
        <v>683</v>
      </c>
      <c r="B152" s="82"/>
      <c r="C152" s="122" t="s">
        <v>684</v>
      </c>
      <c r="D152" s="39">
        <f>D153</f>
        <v>20</v>
      </c>
      <c r="E152" s="39">
        <f t="shared" ref="E152" si="33">E153</f>
        <v>20</v>
      </c>
      <c r="F152" s="93">
        <f t="shared" si="29"/>
        <v>100</v>
      </c>
      <c r="G152" s="102"/>
    </row>
    <row r="153" spans="1:7" ht="39.6" x14ac:dyDescent="0.25">
      <c r="A153" s="156" t="s">
        <v>683</v>
      </c>
      <c r="B153" s="82" t="s">
        <v>205</v>
      </c>
      <c r="C153" s="97" t="s">
        <v>206</v>
      </c>
      <c r="D153" s="39">
        <v>20</v>
      </c>
      <c r="E153" s="39">
        <v>20</v>
      </c>
      <c r="F153" s="93">
        <f t="shared" si="29"/>
        <v>100</v>
      </c>
      <c r="G153" s="102"/>
    </row>
    <row r="154" spans="1:7" ht="26.4" x14ac:dyDescent="0.25">
      <c r="A154" s="21" t="s">
        <v>248</v>
      </c>
      <c r="B154" s="21"/>
      <c r="C154" s="100" t="s">
        <v>437</v>
      </c>
      <c r="D154" s="39">
        <f>D155+D157+D159+D161+D163</f>
        <v>15669.5</v>
      </c>
      <c r="E154" s="39">
        <f t="shared" ref="E154" si="34">E155+E157+E159+E161+E163</f>
        <v>15669.399999999998</v>
      </c>
      <c r="F154" s="93">
        <f t="shared" si="29"/>
        <v>100</v>
      </c>
      <c r="G154" s="102"/>
    </row>
    <row r="155" spans="1:7" ht="26.4" x14ac:dyDescent="0.25">
      <c r="A155" s="74">
        <v>210221100</v>
      </c>
      <c r="B155" s="16"/>
      <c r="C155" s="98" t="s">
        <v>168</v>
      </c>
      <c r="D155" s="39">
        <f>D156</f>
        <v>10757.400000000001</v>
      </c>
      <c r="E155" s="39">
        <f>E156</f>
        <v>10757.4</v>
      </c>
      <c r="F155" s="93">
        <f t="shared" si="29"/>
        <v>100</v>
      </c>
      <c r="G155" s="102"/>
    </row>
    <row r="156" spans="1:7" x14ac:dyDescent="0.25">
      <c r="A156" s="74">
        <v>210221100</v>
      </c>
      <c r="B156" s="21" t="s">
        <v>219</v>
      </c>
      <c r="C156" s="97" t="s">
        <v>218</v>
      </c>
      <c r="D156" s="1">
        <f>10427.2-6.1+236+111.5-10.4-0.8</f>
        <v>10757.400000000001</v>
      </c>
      <c r="E156" s="1">
        <v>10757.4</v>
      </c>
      <c r="F156" s="93">
        <f t="shared" si="29"/>
        <v>100</v>
      </c>
      <c r="G156" s="102"/>
    </row>
    <row r="157" spans="1:7" ht="66" x14ac:dyDescent="0.25">
      <c r="A157" s="74">
        <v>210210690</v>
      </c>
      <c r="B157" s="21"/>
      <c r="C157" s="97" t="s">
        <v>311</v>
      </c>
      <c r="D157" s="39">
        <f>D158</f>
        <v>4781.3999999999996</v>
      </c>
      <c r="E157" s="39">
        <f>E158</f>
        <v>4781.3999999999996</v>
      </c>
      <c r="F157" s="93">
        <f t="shared" si="29"/>
        <v>100</v>
      </c>
      <c r="G157" s="102"/>
    </row>
    <row r="158" spans="1:7" x14ac:dyDescent="0.25">
      <c r="A158" s="74">
        <v>210210690</v>
      </c>
      <c r="B158" s="21" t="s">
        <v>219</v>
      </c>
      <c r="C158" s="97" t="s">
        <v>218</v>
      </c>
      <c r="D158" s="130">
        <f>3753.9+1027.5</f>
        <v>4781.3999999999996</v>
      </c>
      <c r="E158" s="39">
        <v>4781.3999999999996</v>
      </c>
      <c r="F158" s="93">
        <f t="shared" si="29"/>
        <v>100</v>
      </c>
      <c r="G158" s="102"/>
    </row>
    <row r="159" spans="1:7" ht="52.8" x14ac:dyDescent="0.25">
      <c r="A159" s="74" t="s">
        <v>438</v>
      </c>
      <c r="B159" s="82"/>
      <c r="C159" s="97" t="s">
        <v>312</v>
      </c>
      <c r="D159" s="39">
        <f>SUM(D160:D160)</f>
        <v>48.3</v>
      </c>
      <c r="E159" s="39">
        <f>SUM(E160:E160)</f>
        <v>48.3</v>
      </c>
      <c r="F159" s="93">
        <f t="shared" si="29"/>
        <v>100</v>
      </c>
      <c r="G159" s="102"/>
    </row>
    <row r="160" spans="1:7" x14ac:dyDescent="0.25">
      <c r="A160" s="74" t="s">
        <v>438</v>
      </c>
      <c r="B160" s="21" t="s">
        <v>219</v>
      </c>
      <c r="C160" s="97" t="s">
        <v>218</v>
      </c>
      <c r="D160" s="39">
        <f>31.8+6.1+10.4</f>
        <v>48.3</v>
      </c>
      <c r="E160" s="39">
        <v>48.3</v>
      </c>
      <c r="F160" s="93">
        <f t="shared" si="29"/>
        <v>100</v>
      </c>
      <c r="G160" s="102"/>
    </row>
    <row r="161" spans="1:7" ht="52.8" x14ac:dyDescent="0.25">
      <c r="A161" s="74">
        <v>210211390</v>
      </c>
      <c r="B161" s="161"/>
      <c r="C161" s="165" t="s">
        <v>711</v>
      </c>
      <c r="D161" s="162">
        <f>D162</f>
        <v>81.599999999999994</v>
      </c>
      <c r="E161" s="39">
        <f t="shared" ref="E161" si="35">E162</f>
        <v>81.5</v>
      </c>
      <c r="F161" s="93">
        <f t="shared" si="29"/>
        <v>99.9</v>
      </c>
      <c r="G161" s="102"/>
    </row>
    <row r="162" spans="1:7" x14ac:dyDescent="0.25">
      <c r="A162" s="74">
        <v>210211390</v>
      </c>
      <c r="B162" s="21" t="s">
        <v>219</v>
      </c>
      <c r="C162" s="164" t="s">
        <v>218</v>
      </c>
      <c r="D162" s="39">
        <v>81.599999999999994</v>
      </c>
      <c r="E162" s="39">
        <v>81.5</v>
      </c>
      <c r="F162" s="93">
        <f t="shared" si="29"/>
        <v>99.9</v>
      </c>
      <c r="G162" s="102"/>
    </row>
    <row r="163" spans="1:7" ht="66" x14ac:dyDescent="0.25">
      <c r="A163" s="74" t="s">
        <v>712</v>
      </c>
      <c r="B163" s="21"/>
      <c r="C163" s="107" t="s">
        <v>713</v>
      </c>
      <c r="D163" s="39">
        <f>D164</f>
        <v>0.8</v>
      </c>
      <c r="E163" s="39">
        <f t="shared" ref="E163" si="36">E164</f>
        <v>0.8</v>
      </c>
      <c r="F163" s="93">
        <f t="shared" si="29"/>
        <v>100</v>
      </c>
      <c r="G163" s="102"/>
    </row>
    <row r="164" spans="1:7" x14ac:dyDescent="0.25">
      <c r="A164" s="74" t="s">
        <v>712</v>
      </c>
      <c r="B164" s="21" t="s">
        <v>219</v>
      </c>
      <c r="C164" s="97" t="s">
        <v>218</v>
      </c>
      <c r="D164" s="39">
        <v>0.8</v>
      </c>
      <c r="E164" s="39">
        <v>0.8</v>
      </c>
      <c r="F164" s="93">
        <f t="shared" si="29"/>
        <v>100</v>
      </c>
      <c r="G164" s="102"/>
    </row>
    <row r="165" spans="1:7" ht="52.8" x14ac:dyDescent="0.3">
      <c r="A165" s="21" t="s">
        <v>250</v>
      </c>
      <c r="B165" s="35"/>
      <c r="C165" s="97" t="s">
        <v>249</v>
      </c>
      <c r="D165" s="41">
        <f>D166+D168</f>
        <v>1569</v>
      </c>
      <c r="E165" s="41">
        <f t="shared" ref="E165" si="37">E166+E168</f>
        <v>1569</v>
      </c>
      <c r="F165" s="93">
        <f t="shared" si="29"/>
        <v>100</v>
      </c>
      <c r="G165" s="102"/>
    </row>
    <row r="166" spans="1:7" ht="52.8" x14ac:dyDescent="0.25">
      <c r="A166" s="123" t="s">
        <v>439</v>
      </c>
      <c r="B166" s="82"/>
      <c r="C166" s="128" t="s">
        <v>362</v>
      </c>
      <c r="D166" s="39">
        <f>D167</f>
        <v>624</v>
      </c>
      <c r="E166" s="39">
        <f>E167</f>
        <v>624</v>
      </c>
      <c r="F166" s="93">
        <f t="shared" si="29"/>
        <v>100</v>
      </c>
      <c r="G166" s="102"/>
    </row>
    <row r="167" spans="1:7" x14ac:dyDescent="0.25">
      <c r="A167" s="123" t="s">
        <v>439</v>
      </c>
      <c r="B167" s="21" t="s">
        <v>219</v>
      </c>
      <c r="C167" s="97" t="s">
        <v>218</v>
      </c>
      <c r="D167" s="39">
        <f>13+611</f>
        <v>624</v>
      </c>
      <c r="E167" s="39">
        <v>624</v>
      </c>
      <c r="F167" s="93">
        <f t="shared" si="29"/>
        <v>100</v>
      </c>
      <c r="G167" s="102"/>
    </row>
    <row r="168" spans="1:7" ht="42.75" customHeight="1" x14ac:dyDescent="0.25">
      <c r="A168" s="131" t="s">
        <v>441</v>
      </c>
      <c r="B168" s="21"/>
      <c r="C168" s="97" t="s">
        <v>440</v>
      </c>
      <c r="D168" s="39">
        <f>D169</f>
        <v>945</v>
      </c>
      <c r="E168" s="39">
        <f>E169</f>
        <v>945</v>
      </c>
      <c r="F168" s="93">
        <f t="shared" si="29"/>
        <v>100</v>
      </c>
      <c r="G168" s="102"/>
    </row>
    <row r="169" spans="1:7" x14ac:dyDescent="0.25">
      <c r="A169" s="131" t="s">
        <v>441</v>
      </c>
      <c r="B169" s="21" t="s">
        <v>219</v>
      </c>
      <c r="C169" s="97" t="s">
        <v>218</v>
      </c>
      <c r="D169" s="39">
        <v>945</v>
      </c>
      <c r="E169" s="39">
        <v>945</v>
      </c>
      <c r="F169" s="93">
        <f t="shared" si="29"/>
        <v>100</v>
      </c>
      <c r="G169" s="102"/>
    </row>
    <row r="170" spans="1:7" ht="26.4" x14ac:dyDescent="0.3">
      <c r="A170" s="21" t="s">
        <v>442</v>
      </c>
      <c r="B170" s="35"/>
      <c r="C170" s="100" t="s">
        <v>251</v>
      </c>
      <c r="D170" s="41">
        <f>D171+D173</f>
        <v>599.79999999999995</v>
      </c>
      <c r="E170" s="41">
        <f t="shared" ref="E170" si="38">E171+E173</f>
        <v>599.79999999999995</v>
      </c>
      <c r="F170" s="93">
        <f t="shared" si="29"/>
        <v>100</v>
      </c>
      <c r="G170" s="102"/>
    </row>
    <row r="171" spans="1:7" ht="39.6" x14ac:dyDescent="0.25">
      <c r="A171" s="21" t="s">
        <v>443</v>
      </c>
      <c r="B171" s="16"/>
      <c r="C171" s="97" t="s">
        <v>169</v>
      </c>
      <c r="D171" s="41">
        <f t="shared" ref="D171:E171" si="39">D172</f>
        <v>499.8</v>
      </c>
      <c r="E171" s="41">
        <f t="shared" si="39"/>
        <v>499.8</v>
      </c>
      <c r="F171" s="93">
        <f t="shared" si="29"/>
        <v>100</v>
      </c>
      <c r="G171" s="102"/>
    </row>
    <row r="172" spans="1:7" ht="39.6" x14ac:dyDescent="0.25">
      <c r="A172" s="21" t="s">
        <v>443</v>
      </c>
      <c r="B172" s="82" t="s">
        <v>205</v>
      </c>
      <c r="C172" s="97" t="s">
        <v>206</v>
      </c>
      <c r="D172" s="41">
        <f>374+125.8</f>
        <v>499.8</v>
      </c>
      <c r="E172" s="41">
        <v>499.8</v>
      </c>
      <c r="F172" s="93">
        <f t="shared" si="29"/>
        <v>100</v>
      </c>
      <c r="G172" s="102"/>
    </row>
    <row r="173" spans="1:7" ht="26.4" x14ac:dyDescent="0.25">
      <c r="A173" s="21" t="s">
        <v>685</v>
      </c>
      <c r="B173" s="82"/>
      <c r="C173" s="107" t="s">
        <v>686</v>
      </c>
      <c r="D173" s="41">
        <f>D174</f>
        <v>100</v>
      </c>
      <c r="E173" s="41">
        <f t="shared" ref="E173" si="40">E174</f>
        <v>100</v>
      </c>
      <c r="F173" s="93">
        <f t="shared" si="29"/>
        <v>100</v>
      </c>
      <c r="G173" s="102"/>
    </row>
    <row r="174" spans="1:7" ht="39.6" x14ac:dyDescent="0.25">
      <c r="A174" s="158" t="s">
        <v>685</v>
      </c>
      <c r="B174" s="82" t="s">
        <v>205</v>
      </c>
      <c r="C174" s="97" t="s">
        <v>206</v>
      </c>
      <c r="D174" s="41">
        <v>100</v>
      </c>
      <c r="E174" s="41">
        <v>100</v>
      </c>
      <c r="F174" s="93">
        <f t="shared" si="29"/>
        <v>100</v>
      </c>
      <c r="G174" s="102"/>
    </row>
    <row r="175" spans="1:7" ht="39.6" x14ac:dyDescent="0.25">
      <c r="A175" s="21" t="s">
        <v>613</v>
      </c>
      <c r="B175" s="82"/>
      <c r="C175" s="100" t="s">
        <v>622</v>
      </c>
      <c r="D175" s="41">
        <f>D176</f>
        <v>237.2</v>
      </c>
      <c r="E175" s="41">
        <f t="shared" ref="E175" si="41">E176</f>
        <v>237.2</v>
      </c>
      <c r="F175" s="93">
        <f t="shared" si="29"/>
        <v>100</v>
      </c>
      <c r="G175" s="102"/>
    </row>
    <row r="176" spans="1:7" ht="26.4" x14ac:dyDescent="0.25">
      <c r="A176" s="21" t="s">
        <v>637</v>
      </c>
      <c r="B176" s="82"/>
      <c r="C176" s="97" t="s">
        <v>611</v>
      </c>
      <c r="D176" s="41">
        <f>D177</f>
        <v>237.2</v>
      </c>
      <c r="E176" s="41">
        <f t="shared" ref="E176" si="42">E177</f>
        <v>237.2</v>
      </c>
      <c r="F176" s="93">
        <f t="shared" si="29"/>
        <v>100</v>
      </c>
      <c r="G176" s="102"/>
    </row>
    <row r="177" spans="1:7" x14ac:dyDescent="0.25">
      <c r="A177" s="21" t="s">
        <v>637</v>
      </c>
      <c r="B177" s="21" t="s">
        <v>219</v>
      </c>
      <c r="C177" s="97" t="s">
        <v>218</v>
      </c>
      <c r="D177" s="41">
        <v>237.2</v>
      </c>
      <c r="E177" s="41">
        <v>237.2</v>
      </c>
      <c r="F177" s="93">
        <f t="shared" si="29"/>
        <v>100</v>
      </c>
      <c r="G177" s="102"/>
    </row>
    <row r="178" spans="1:7" ht="27" x14ac:dyDescent="0.3">
      <c r="A178" s="52" t="s">
        <v>44</v>
      </c>
      <c r="B178" s="35"/>
      <c r="C178" s="48" t="s">
        <v>195</v>
      </c>
      <c r="D178" s="58">
        <f>D179+D188</f>
        <v>5986</v>
      </c>
      <c r="E178" s="58">
        <f t="shared" ref="E178" si="43">E179+E188</f>
        <v>5986</v>
      </c>
      <c r="F178" s="93">
        <f t="shared" si="29"/>
        <v>100</v>
      </c>
      <c r="G178" s="102"/>
    </row>
    <row r="179" spans="1:7" ht="79.8" x14ac:dyDescent="0.3">
      <c r="A179" s="21" t="s">
        <v>252</v>
      </c>
      <c r="B179" s="35"/>
      <c r="C179" s="98" t="s">
        <v>253</v>
      </c>
      <c r="D179" s="58">
        <f>D180+D183+D186</f>
        <v>5736</v>
      </c>
      <c r="E179" s="58">
        <f t="shared" ref="E179" si="44">E180+E183+E186</f>
        <v>5736</v>
      </c>
      <c r="F179" s="93">
        <f t="shared" si="29"/>
        <v>100</v>
      </c>
      <c r="G179" s="102"/>
    </row>
    <row r="180" spans="1:7" ht="79.2" x14ac:dyDescent="0.25">
      <c r="A180" s="21" t="s">
        <v>444</v>
      </c>
      <c r="B180" s="21"/>
      <c r="C180" s="98" t="s">
        <v>171</v>
      </c>
      <c r="D180" s="39">
        <f>SUM(D181:D182)</f>
        <v>565.80000000000007</v>
      </c>
      <c r="E180" s="39">
        <f t="shared" ref="E180" si="45">SUM(E181:E182)</f>
        <v>565.79999999999995</v>
      </c>
      <c r="F180" s="93">
        <f t="shared" si="29"/>
        <v>100</v>
      </c>
      <c r="G180" s="102"/>
    </row>
    <row r="181" spans="1:7" ht="26.4" x14ac:dyDescent="0.25">
      <c r="A181" s="21" t="s">
        <v>444</v>
      </c>
      <c r="B181" s="82" t="s">
        <v>65</v>
      </c>
      <c r="C181" s="55" t="s">
        <v>128</v>
      </c>
      <c r="D181" s="39">
        <f>130+0.1-6</f>
        <v>124.1</v>
      </c>
      <c r="E181" s="39">
        <v>124.1</v>
      </c>
      <c r="F181" s="93">
        <f t="shared" si="29"/>
        <v>100</v>
      </c>
      <c r="G181" s="102"/>
    </row>
    <row r="182" spans="1:7" ht="39.6" x14ac:dyDescent="0.25">
      <c r="A182" s="21" t="s">
        <v>444</v>
      </c>
      <c r="B182" s="82" t="s">
        <v>205</v>
      </c>
      <c r="C182" s="97" t="s">
        <v>206</v>
      </c>
      <c r="D182" s="39">
        <f>543.7-130+22+6</f>
        <v>441.70000000000005</v>
      </c>
      <c r="E182" s="39">
        <v>441.7</v>
      </c>
      <c r="F182" s="93">
        <f t="shared" si="29"/>
        <v>100</v>
      </c>
      <c r="G182" s="102"/>
    </row>
    <row r="183" spans="1:7" ht="52.8" x14ac:dyDescent="0.25">
      <c r="A183" s="21" t="s">
        <v>445</v>
      </c>
      <c r="B183" s="21"/>
      <c r="C183" s="98" t="s">
        <v>62</v>
      </c>
      <c r="D183" s="39">
        <f>SUM(D184:D185)</f>
        <v>68.5</v>
      </c>
      <c r="E183" s="39">
        <f>SUM(E184:E185)</f>
        <v>68.5</v>
      </c>
      <c r="F183" s="93">
        <f t="shared" si="29"/>
        <v>100</v>
      </c>
      <c r="G183" s="102"/>
    </row>
    <row r="184" spans="1:7" ht="26.4" x14ac:dyDescent="0.25">
      <c r="A184" s="21" t="s">
        <v>445</v>
      </c>
      <c r="B184" s="82" t="s">
        <v>65</v>
      </c>
      <c r="C184" s="55" t="s">
        <v>128</v>
      </c>
      <c r="D184" s="39">
        <f>39.6+8.4</f>
        <v>48</v>
      </c>
      <c r="E184" s="39">
        <f>39.6+8.4</f>
        <v>48</v>
      </c>
      <c r="F184" s="93">
        <f t="shared" si="29"/>
        <v>100</v>
      </c>
      <c r="G184" s="102"/>
    </row>
    <row r="185" spans="1:7" ht="39.6" x14ac:dyDescent="0.25">
      <c r="A185" s="21" t="s">
        <v>445</v>
      </c>
      <c r="B185" s="82" t="s">
        <v>205</v>
      </c>
      <c r="C185" s="97" t="s">
        <v>206</v>
      </c>
      <c r="D185" s="39">
        <f>51-30.5</f>
        <v>20.5</v>
      </c>
      <c r="E185" s="39">
        <f>51-30.5</f>
        <v>20.5</v>
      </c>
      <c r="F185" s="93">
        <f t="shared" si="29"/>
        <v>100</v>
      </c>
      <c r="G185" s="102"/>
    </row>
    <row r="186" spans="1:7" ht="26.4" x14ac:dyDescent="0.25">
      <c r="A186" s="21" t="s">
        <v>655</v>
      </c>
      <c r="B186" s="82"/>
      <c r="C186" s="97" t="s">
        <v>654</v>
      </c>
      <c r="D186" s="39">
        <f>D187</f>
        <v>5101.7</v>
      </c>
      <c r="E186" s="39">
        <f t="shared" ref="E186" si="46">E187</f>
        <v>5101.7</v>
      </c>
      <c r="F186" s="93">
        <f t="shared" si="29"/>
        <v>100</v>
      </c>
      <c r="G186" s="102"/>
    </row>
    <row r="187" spans="1:7" ht="39.6" x14ac:dyDescent="0.25">
      <c r="A187" s="21" t="s">
        <v>655</v>
      </c>
      <c r="B187" s="82" t="s">
        <v>205</v>
      </c>
      <c r="C187" s="97" t="s">
        <v>206</v>
      </c>
      <c r="D187" s="39">
        <v>5101.7</v>
      </c>
      <c r="E187" s="39">
        <v>5101.7</v>
      </c>
      <c r="F187" s="93">
        <f t="shared" si="29"/>
        <v>100</v>
      </c>
      <c r="G187" s="102"/>
    </row>
    <row r="188" spans="1:7" ht="26.4" x14ac:dyDescent="0.25">
      <c r="A188" s="21" t="s">
        <v>624</v>
      </c>
      <c r="B188" s="82"/>
      <c r="C188" s="97" t="s">
        <v>623</v>
      </c>
      <c r="D188" s="39">
        <f>D189+D191</f>
        <v>250</v>
      </c>
      <c r="E188" s="39">
        <f t="shared" ref="E188" si="47">E189+E191</f>
        <v>250</v>
      </c>
      <c r="F188" s="93">
        <f t="shared" si="29"/>
        <v>100</v>
      </c>
      <c r="G188" s="102"/>
    </row>
    <row r="189" spans="1:7" ht="42" customHeight="1" x14ac:dyDescent="0.25">
      <c r="A189" s="21" t="s">
        <v>620</v>
      </c>
      <c r="B189" s="82"/>
      <c r="C189" s="97" t="s">
        <v>621</v>
      </c>
      <c r="D189" s="39">
        <f t="shared" ref="D189:E189" si="48">D190</f>
        <v>50</v>
      </c>
      <c r="E189" s="39">
        <f t="shared" si="48"/>
        <v>50</v>
      </c>
      <c r="F189" s="93">
        <f t="shared" si="29"/>
        <v>100</v>
      </c>
      <c r="G189" s="102"/>
    </row>
    <row r="190" spans="1:7" ht="39.6" x14ac:dyDescent="0.25">
      <c r="A190" s="21" t="s">
        <v>620</v>
      </c>
      <c r="B190" s="82" t="s">
        <v>205</v>
      </c>
      <c r="C190" s="97" t="s">
        <v>206</v>
      </c>
      <c r="D190" s="39">
        <v>50</v>
      </c>
      <c r="E190" s="39">
        <v>50</v>
      </c>
      <c r="F190" s="93">
        <f t="shared" si="29"/>
        <v>100</v>
      </c>
      <c r="G190" s="102"/>
    </row>
    <row r="191" spans="1:7" ht="39.6" x14ac:dyDescent="0.25">
      <c r="A191" s="21" t="s">
        <v>663</v>
      </c>
      <c r="B191" s="82"/>
      <c r="C191" s="97" t="s">
        <v>664</v>
      </c>
      <c r="D191" s="39">
        <f>D192</f>
        <v>200</v>
      </c>
      <c r="E191" s="39">
        <f>E192</f>
        <v>200</v>
      </c>
      <c r="F191" s="93">
        <f t="shared" si="29"/>
        <v>100</v>
      </c>
      <c r="G191" s="102"/>
    </row>
    <row r="192" spans="1:7" ht="39.6" x14ac:dyDescent="0.25">
      <c r="A192" s="21" t="s">
        <v>663</v>
      </c>
      <c r="B192" s="82" t="s">
        <v>205</v>
      </c>
      <c r="C192" s="97" t="s">
        <v>206</v>
      </c>
      <c r="D192" s="39">
        <v>200</v>
      </c>
      <c r="E192" s="39">
        <v>200</v>
      </c>
      <c r="F192" s="93">
        <f t="shared" si="29"/>
        <v>100</v>
      </c>
      <c r="G192" s="102"/>
    </row>
    <row r="193" spans="1:7" ht="26.4" x14ac:dyDescent="0.25">
      <c r="A193" s="52" t="s">
        <v>31</v>
      </c>
      <c r="B193" s="21"/>
      <c r="C193" s="48" t="s">
        <v>172</v>
      </c>
      <c r="D193" s="41">
        <f>D194+D201+D204</f>
        <v>10604.300000000001</v>
      </c>
      <c r="E193" s="41">
        <f>E194+E201+E204</f>
        <v>10604.300000000001</v>
      </c>
      <c r="F193" s="93">
        <f t="shared" si="29"/>
        <v>100</v>
      </c>
      <c r="G193" s="102"/>
    </row>
    <row r="194" spans="1:7" ht="26.4" x14ac:dyDescent="0.25">
      <c r="A194" s="21" t="s">
        <v>203</v>
      </c>
      <c r="B194" s="16"/>
      <c r="C194" s="100" t="s">
        <v>303</v>
      </c>
      <c r="D194" s="41">
        <f>D195+D197+D199</f>
        <v>357.20000000000005</v>
      </c>
      <c r="E194" s="41">
        <f>E195+E197+E199</f>
        <v>357.20000000000005</v>
      </c>
      <c r="F194" s="93">
        <f t="shared" si="29"/>
        <v>100</v>
      </c>
      <c r="G194" s="102"/>
    </row>
    <row r="195" spans="1:7" ht="52.8" x14ac:dyDescent="0.25">
      <c r="A195" s="133" t="s">
        <v>446</v>
      </c>
      <c r="B195" s="16"/>
      <c r="C195" s="99" t="s">
        <v>200</v>
      </c>
      <c r="D195" s="39">
        <f>D196</f>
        <v>6.6</v>
      </c>
      <c r="E195" s="39">
        <f>E196</f>
        <v>6.6</v>
      </c>
      <c r="F195" s="93">
        <f t="shared" si="29"/>
        <v>100</v>
      </c>
      <c r="G195" s="102"/>
    </row>
    <row r="196" spans="1:7" ht="39.6" x14ac:dyDescent="0.25">
      <c r="A196" s="133" t="s">
        <v>446</v>
      </c>
      <c r="B196" s="82" t="s">
        <v>205</v>
      </c>
      <c r="C196" s="97" t="s">
        <v>206</v>
      </c>
      <c r="D196" s="41">
        <v>6.6</v>
      </c>
      <c r="E196" s="41">
        <v>6.6</v>
      </c>
      <c r="F196" s="93">
        <f t="shared" si="29"/>
        <v>100</v>
      </c>
      <c r="G196" s="102"/>
    </row>
    <row r="197" spans="1:7" ht="26.4" x14ac:dyDescent="0.25">
      <c r="A197" s="133" t="s">
        <v>447</v>
      </c>
      <c r="B197" s="16"/>
      <c r="C197" s="97" t="s">
        <v>173</v>
      </c>
      <c r="D197" s="41">
        <f>D198</f>
        <v>300.60000000000002</v>
      </c>
      <c r="E197" s="41">
        <f>E198</f>
        <v>300.60000000000002</v>
      </c>
      <c r="F197" s="93">
        <f t="shared" si="29"/>
        <v>100</v>
      </c>
      <c r="G197" s="102"/>
    </row>
    <row r="198" spans="1:7" ht="39.6" x14ac:dyDescent="0.25">
      <c r="A198" s="133" t="s">
        <v>447</v>
      </c>
      <c r="B198" s="82" t="s">
        <v>205</v>
      </c>
      <c r="C198" s="97" t="s">
        <v>206</v>
      </c>
      <c r="D198" s="41">
        <f>289.6-4+15</f>
        <v>300.60000000000002</v>
      </c>
      <c r="E198" s="41">
        <v>300.60000000000002</v>
      </c>
      <c r="F198" s="93">
        <f t="shared" ref="F198:F259" si="49">ROUND((E198/D198*100),1)</f>
        <v>100</v>
      </c>
      <c r="G198" s="102"/>
    </row>
    <row r="199" spans="1:7" x14ac:dyDescent="0.25">
      <c r="A199" s="133" t="s">
        <v>448</v>
      </c>
      <c r="B199" s="82"/>
      <c r="C199" s="54" t="s">
        <v>370</v>
      </c>
      <c r="D199" s="41">
        <f>D200</f>
        <v>50</v>
      </c>
      <c r="E199" s="41">
        <f>E200</f>
        <v>50</v>
      </c>
      <c r="F199" s="93">
        <f t="shared" si="49"/>
        <v>100</v>
      </c>
      <c r="G199" s="102"/>
    </row>
    <row r="200" spans="1:7" ht="39.6" x14ac:dyDescent="0.25">
      <c r="A200" s="133" t="s">
        <v>448</v>
      </c>
      <c r="B200" s="82" t="s">
        <v>205</v>
      </c>
      <c r="C200" s="97" t="s">
        <v>206</v>
      </c>
      <c r="D200" s="41">
        <v>50</v>
      </c>
      <c r="E200" s="41">
        <v>50</v>
      </c>
      <c r="F200" s="93">
        <f t="shared" si="49"/>
        <v>100</v>
      </c>
      <c r="G200" s="102"/>
    </row>
    <row r="201" spans="1:7" ht="79.2" x14ac:dyDescent="0.25">
      <c r="A201" s="21" t="s">
        <v>254</v>
      </c>
      <c r="B201" s="16"/>
      <c r="C201" s="100" t="s">
        <v>255</v>
      </c>
      <c r="D201" s="41">
        <f t="shared" ref="D201:E202" si="50">D202</f>
        <v>8963.4</v>
      </c>
      <c r="E201" s="41">
        <f t="shared" si="50"/>
        <v>8963.4</v>
      </c>
      <c r="F201" s="93">
        <f t="shared" si="49"/>
        <v>100</v>
      </c>
      <c r="G201" s="102"/>
    </row>
    <row r="202" spans="1:7" ht="39.6" x14ac:dyDescent="0.25">
      <c r="A202" s="74">
        <v>230221100</v>
      </c>
      <c r="B202" s="16"/>
      <c r="C202" s="97" t="s">
        <v>0</v>
      </c>
      <c r="D202" s="41">
        <f t="shared" si="50"/>
        <v>8963.4</v>
      </c>
      <c r="E202" s="41">
        <f t="shared" si="50"/>
        <v>8963.4</v>
      </c>
      <c r="F202" s="93">
        <f t="shared" si="49"/>
        <v>100</v>
      </c>
      <c r="G202" s="102"/>
    </row>
    <row r="203" spans="1:7" x14ac:dyDescent="0.25">
      <c r="A203" s="74">
        <v>230221100</v>
      </c>
      <c r="B203" s="82" t="s">
        <v>219</v>
      </c>
      <c r="C203" s="97" t="s">
        <v>218</v>
      </c>
      <c r="D203" s="41">
        <f>8853.6+109.8</f>
        <v>8963.4</v>
      </c>
      <c r="E203" s="41">
        <v>8963.4</v>
      </c>
      <c r="F203" s="93">
        <f t="shared" si="49"/>
        <v>100</v>
      </c>
      <c r="G203" s="102"/>
    </row>
    <row r="204" spans="1:7" ht="66" x14ac:dyDescent="0.25">
      <c r="A204" s="21" t="s">
        <v>451</v>
      </c>
      <c r="B204" s="82"/>
      <c r="C204" s="97" t="s">
        <v>450</v>
      </c>
      <c r="D204" s="41">
        <f t="shared" ref="D204:E205" si="51">D205</f>
        <v>1283.7</v>
      </c>
      <c r="E204" s="41">
        <f t="shared" si="51"/>
        <v>1283.7</v>
      </c>
      <c r="F204" s="93">
        <f t="shared" si="49"/>
        <v>100</v>
      </c>
      <c r="G204" s="102"/>
    </row>
    <row r="205" spans="1:7" ht="53.25" customHeight="1" x14ac:dyDescent="0.25">
      <c r="A205" s="74">
        <v>230321210</v>
      </c>
      <c r="B205" s="82"/>
      <c r="C205" s="97" t="s">
        <v>449</v>
      </c>
      <c r="D205" s="41">
        <f t="shared" si="51"/>
        <v>1283.7</v>
      </c>
      <c r="E205" s="41">
        <f t="shared" si="51"/>
        <v>1283.7</v>
      </c>
      <c r="F205" s="93">
        <f t="shared" si="49"/>
        <v>100</v>
      </c>
      <c r="G205" s="102"/>
    </row>
    <row r="206" spans="1:7" x14ac:dyDescent="0.25">
      <c r="A206" s="74">
        <v>230321210</v>
      </c>
      <c r="B206" s="21" t="s">
        <v>219</v>
      </c>
      <c r="C206" s="97" t="s">
        <v>218</v>
      </c>
      <c r="D206" s="41">
        <v>1283.7</v>
      </c>
      <c r="E206" s="41">
        <v>1283.7</v>
      </c>
      <c r="F206" s="93">
        <f t="shared" si="49"/>
        <v>100</v>
      </c>
      <c r="G206" s="102"/>
    </row>
    <row r="207" spans="1:7" x14ac:dyDescent="0.25">
      <c r="A207" s="52" t="s">
        <v>32</v>
      </c>
      <c r="B207" s="21"/>
      <c r="C207" s="66" t="s">
        <v>47</v>
      </c>
      <c r="D207" s="58">
        <f>D208+D211</f>
        <v>3463.4</v>
      </c>
      <c r="E207" s="58">
        <f t="shared" ref="E207" si="52">E208+E211</f>
        <v>3456.3</v>
      </c>
      <c r="F207" s="58">
        <f t="shared" si="49"/>
        <v>99.8</v>
      </c>
      <c r="G207" s="102"/>
    </row>
    <row r="208" spans="1:7" ht="66" x14ac:dyDescent="0.25">
      <c r="A208" s="80">
        <v>290022200</v>
      </c>
      <c r="B208" s="21"/>
      <c r="C208" s="97" t="s">
        <v>257</v>
      </c>
      <c r="D208" s="93">
        <f>SUM(D209:D210)</f>
        <v>3403.5</v>
      </c>
      <c r="E208" s="93">
        <f>SUM(E209:E210)</f>
        <v>3396.4</v>
      </c>
      <c r="F208" s="93">
        <f t="shared" si="49"/>
        <v>99.8</v>
      </c>
      <c r="G208" s="102"/>
    </row>
    <row r="209" spans="1:7" ht="26.4" x14ac:dyDescent="0.25">
      <c r="A209" s="80">
        <v>290022200</v>
      </c>
      <c r="B209" s="16" t="s">
        <v>63</v>
      </c>
      <c r="C209" s="55" t="s">
        <v>64</v>
      </c>
      <c r="D209" s="93">
        <f>3035.4+300.6</f>
        <v>3336</v>
      </c>
      <c r="E209" s="208">
        <v>3336</v>
      </c>
      <c r="F209" s="93">
        <f t="shared" si="49"/>
        <v>100</v>
      </c>
      <c r="G209" s="102"/>
    </row>
    <row r="210" spans="1:7" ht="39.6" x14ac:dyDescent="0.25">
      <c r="A210" s="80">
        <v>290022200</v>
      </c>
      <c r="B210" s="82" t="s">
        <v>205</v>
      </c>
      <c r="C210" s="97" t="s">
        <v>206</v>
      </c>
      <c r="D210" s="41">
        <v>67.5</v>
      </c>
      <c r="E210" s="209">
        <v>60.4</v>
      </c>
      <c r="F210" s="93">
        <f t="shared" si="49"/>
        <v>89.5</v>
      </c>
      <c r="G210" s="102"/>
    </row>
    <row r="211" spans="1:7" s="174" customFormat="1" ht="66" x14ac:dyDescent="0.25">
      <c r="A211" s="80">
        <v>290055492</v>
      </c>
      <c r="B211" s="82"/>
      <c r="C211" s="172" t="s">
        <v>714</v>
      </c>
      <c r="D211" s="41">
        <f>D212</f>
        <v>59.9</v>
      </c>
      <c r="E211" s="41">
        <f t="shared" ref="E211" si="53">E212</f>
        <v>59.9</v>
      </c>
      <c r="F211" s="93">
        <f t="shared" si="49"/>
        <v>100</v>
      </c>
      <c r="G211" s="102"/>
    </row>
    <row r="212" spans="1:7" s="174" customFormat="1" ht="26.4" x14ac:dyDescent="0.25">
      <c r="A212" s="80">
        <v>290055492</v>
      </c>
      <c r="B212" s="16" t="s">
        <v>63</v>
      </c>
      <c r="C212" s="172" t="s">
        <v>78</v>
      </c>
      <c r="D212" s="41">
        <v>59.9</v>
      </c>
      <c r="E212" s="41">
        <v>59.9</v>
      </c>
      <c r="F212" s="93">
        <f t="shared" si="49"/>
        <v>100</v>
      </c>
      <c r="G212" s="102"/>
    </row>
    <row r="213" spans="1:7" ht="77.25" customHeight="1" x14ac:dyDescent="0.25">
      <c r="A213" s="73" t="s">
        <v>70</v>
      </c>
      <c r="B213" s="16"/>
      <c r="C213" s="140" t="s">
        <v>564</v>
      </c>
      <c r="D213" s="95">
        <f>D214+D226</f>
        <v>31857.9</v>
      </c>
      <c r="E213" s="95">
        <f>E214+E226</f>
        <v>25507.3</v>
      </c>
      <c r="F213" s="62">
        <f t="shared" si="49"/>
        <v>80.099999999999994</v>
      </c>
    </row>
    <row r="214" spans="1:7" ht="27" x14ac:dyDescent="0.3">
      <c r="A214" s="52" t="s">
        <v>71</v>
      </c>
      <c r="B214" s="16"/>
      <c r="C214" s="48" t="s">
        <v>152</v>
      </c>
      <c r="D214" s="92">
        <f>D215+D218</f>
        <v>27463.200000000001</v>
      </c>
      <c r="E214" s="92">
        <f>E215+E218</f>
        <v>25085.599999999999</v>
      </c>
      <c r="F214" s="42">
        <f t="shared" si="49"/>
        <v>91.3</v>
      </c>
    </row>
    <row r="215" spans="1:7" ht="39.6" x14ac:dyDescent="0.25">
      <c r="A215" s="21" t="s">
        <v>238</v>
      </c>
      <c r="B215" s="16"/>
      <c r="C215" s="98" t="s">
        <v>239</v>
      </c>
      <c r="D215" s="39">
        <f t="shared" ref="D215:E216" si="54">D216</f>
        <v>261</v>
      </c>
      <c r="E215" s="39">
        <f t="shared" si="54"/>
        <v>261</v>
      </c>
      <c r="F215" s="93">
        <f t="shared" si="49"/>
        <v>100</v>
      </c>
    </row>
    <row r="216" spans="1:7" ht="39.6" x14ac:dyDescent="0.25">
      <c r="A216" s="82" t="s">
        <v>452</v>
      </c>
      <c r="B216" s="16"/>
      <c r="C216" s="96" t="s">
        <v>153</v>
      </c>
      <c r="D216" s="41">
        <f t="shared" si="54"/>
        <v>261</v>
      </c>
      <c r="E216" s="41">
        <f t="shared" si="54"/>
        <v>261</v>
      </c>
      <c r="F216" s="93">
        <f t="shared" si="49"/>
        <v>100</v>
      </c>
    </row>
    <row r="217" spans="1:7" ht="39.6" x14ac:dyDescent="0.25">
      <c r="A217" s="82" t="s">
        <v>452</v>
      </c>
      <c r="B217" s="82" t="s">
        <v>205</v>
      </c>
      <c r="C217" s="97" t="s">
        <v>206</v>
      </c>
      <c r="D217" s="41">
        <f>250+40-29</f>
        <v>261</v>
      </c>
      <c r="E217" s="41">
        <v>261</v>
      </c>
      <c r="F217" s="93">
        <f t="shared" si="49"/>
        <v>100</v>
      </c>
    </row>
    <row r="218" spans="1:7" ht="51.75" customHeight="1" x14ac:dyDescent="0.25">
      <c r="A218" s="21" t="s">
        <v>240</v>
      </c>
      <c r="B218" s="82"/>
      <c r="C218" s="98" t="s">
        <v>241</v>
      </c>
      <c r="D218" s="41">
        <f>D219+D221+D223</f>
        <v>27202.2</v>
      </c>
      <c r="E218" s="41">
        <f>E219+E221+E223</f>
        <v>24824.6</v>
      </c>
      <c r="F218" s="93">
        <f t="shared" si="49"/>
        <v>91.3</v>
      </c>
    </row>
    <row r="219" spans="1:7" ht="52.8" x14ac:dyDescent="0.25">
      <c r="A219" s="133" t="s">
        <v>453</v>
      </c>
      <c r="B219" s="16"/>
      <c r="C219" s="96" t="s">
        <v>154</v>
      </c>
      <c r="D219" s="41">
        <f>D220</f>
        <v>211</v>
      </c>
      <c r="E219" s="41">
        <f>E220</f>
        <v>211</v>
      </c>
      <c r="F219" s="93">
        <f t="shared" si="49"/>
        <v>100</v>
      </c>
    </row>
    <row r="220" spans="1:7" ht="39.6" x14ac:dyDescent="0.25">
      <c r="A220" s="133" t="s">
        <v>453</v>
      </c>
      <c r="B220" s="82" t="s">
        <v>205</v>
      </c>
      <c r="C220" s="97" t="s">
        <v>206</v>
      </c>
      <c r="D220" s="41">
        <f>100+29+42+40</f>
        <v>211</v>
      </c>
      <c r="E220" s="41">
        <v>211</v>
      </c>
      <c r="F220" s="93">
        <f t="shared" si="49"/>
        <v>100</v>
      </c>
    </row>
    <row r="221" spans="1:7" ht="79.2" x14ac:dyDescent="0.25">
      <c r="A221" s="133" t="s">
        <v>454</v>
      </c>
      <c r="B221" s="16"/>
      <c r="C221" s="96" t="s">
        <v>155</v>
      </c>
      <c r="D221" s="41">
        <f>D222</f>
        <v>324.8</v>
      </c>
      <c r="E221" s="41">
        <f>E222</f>
        <v>324.8</v>
      </c>
      <c r="F221" s="93">
        <f t="shared" si="49"/>
        <v>100</v>
      </c>
    </row>
    <row r="222" spans="1:7" ht="39.6" x14ac:dyDescent="0.25">
      <c r="A222" s="133" t="s">
        <v>454</v>
      </c>
      <c r="B222" s="82" t="s">
        <v>205</v>
      </c>
      <c r="C222" s="97" t="s">
        <v>206</v>
      </c>
      <c r="D222" s="41">
        <f>330-5.2</f>
        <v>324.8</v>
      </c>
      <c r="E222" s="41">
        <v>324.8</v>
      </c>
      <c r="F222" s="93">
        <f t="shared" si="49"/>
        <v>100</v>
      </c>
    </row>
    <row r="223" spans="1:7" ht="39.6" x14ac:dyDescent="0.25">
      <c r="A223" s="74">
        <v>310223174</v>
      </c>
      <c r="B223" s="16"/>
      <c r="C223" s="96" t="s">
        <v>156</v>
      </c>
      <c r="D223" s="41">
        <f>SUM(D224:D225)</f>
        <v>26666.400000000001</v>
      </c>
      <c r="E223" s="41">
        <f>SUM(E224:E225)</f>
        <v>24288.799999999999</v>
      </c>
      <c r="F223" s="93">
        <f t="shared" si="49"/>
        <v>91.1</v>
      </c>
    </row>
    <row r="224" spans="1:7" ht="39.6" x14ac:dyDescent="0.25">
      <c r="A224" s="74">
        <v>310223174</v>
      </c>
      <c r="B224" s="82" t="s">
        <v>205</v>
      </c>
      <c r="C224" s="97" t="s">
        <v>206</v>
      </c>
      <c r="D224" s="41">
        <f>9373.3+1497.8+15466.2+97.4+222.5-36.8-40</f>
        <v>26580.400000000001</v>
      </c>
      <c r="E224" s="41">
        <v>24202.799999999999</v>
      </c>
      <c r="F224" s="93">
        <f t="shared" si="49"/>
        <v>91.1</v>
      </c>
    </row>
    <row r="225" spans="1:6" x14ac:dyDescent="0.25">
      <c r="A225" s="74">
        <v>310223174</v>
      </c>
      <c r="B225" s="82" t="s">
        <v>129</v>
      </c>
      <c r="C225" s="97" t="s">
        <v>130</v>
      </c>
      <c r="D225" s="41">
        <f>16.3+40.4+29.3</f>
        <v>86</v>
      </c>
      <c r="E225" s="41">
        <v>86</v>
      </c>
      <c r="F225" s="93">
        <f t="shared" si="49"/>
        <v>100</v>
      </c>
    </row>
    <row r="226" spans="1:6" ht="39.6" x14ac:dyDescent="0.25">
      <c r="A226" s="52" t="s">
        <v>158</v>
      </c>
      <c r="B226" s="16"/>
      <c r="C226" s="48" t="s">
        <v>157</v>
      </c>
      <c r="D226" s="92">
        <f>D227+D231</f>
        <v>4394.7</v>
      </c>
      <c r="E226" s="92">
        <f>E227+E231</f>
        <v>421.70000000000005</v>
      </c>
      <c r="F226" s="58">
        <f t="shared" si="49"/>
        <v>9.6</v>
      </c>
    </row>
    <row r="227" spans="1:6" ht="79.2" x14ac:dyDescent="0.25">
      <c r="A227" s="21" t="s">
        <v>242</v>
      </c>
      <c r="B227" s="16"/>
      <c r="C227" s="98" t="s">
        <v>304</v>
      </c>
      <c r="D227" s="41">
        <f t="shared" ref="D227:E227" si="55">D228</f>
        <v>180.5</v>
      </c>
      <c r="E227" s="41">
        <f t="shared" si="55"/>
        <v>180.5</v>
      </c>
      <c r="F227" s="93">
        <f t="shared" si="49"/>
        <v>100</v>
      </c>
    </row>
    <row r="228" spans="1:6" ht="53.4" x14ac:dyDescent="0.3">
      <c r="A228" s="21" t="s">
        <v>455</v>
      </c>
      <c r="B228" s="30"/>
      <c r="C228" s="96" t="s">
        <v>159</v>
      </c>
      <c r="D228" s="41">
        <f>SUM(D229:D230)</f>
        <v>180.5</v>
      </c>
      <c r="E228" s="41">
        <f t="shared" ref="E228" si="56">SUM(E229:E230)</f>
        <v>180.5</v>
      </c>
      <c r="F228" s="93">
        <f t="shared" si="49"/>
        <v>100</v>
      </c>
    </row>
    <row r="229" spans="1:6" ht="39.6" x14ac:dyDescent="0.25">
      <c r="A229" s="21" t="s">
        <v>455</v>
      </c>
      <c r="B229" s="82" t="s">
        <v>205</v>
      </c>
      <c r="C229" s="97" t="s">
        <v>206</v>
      </c>
      <c r="D229" s="39">
        <f>164+1.1</f>
        <v>165.1</v>
      </c>
      <c r="E229" s="39">
        <f>164+1.1</f>
        <v>165.1</v>
      </c>
      <c r="F229" s="93">
        <f t="shared" si="49"/>
        <v>100</v>
      </c>
    </row>
    <row r="230" spans="1:6" x14ac:dyDescent="0.25">
      <c r="A230" s="21" t="s">
        <v>455</v>
      </c>
      <c r="B230" s="82" t="s">
        <v>652</v>
      </c>
      <c r="C230" s="97" t="s">
        <v>653</v>
      </c>
      <c r="D230" s="41">
        <v>15.4</v>
      </c>
      <c r="E230" s="41">
        <v>15.4</v>
      </c>
      <c r="F230" s="93">
        <f t="shared" si="49"/>
        <v>100</v>
      </c>
    </row>
    <row r="231" spans="1:6" ht="26.4" x14ac:dyDescent="0.25">
      <c r="A231" s="21" t="s">
        <v>338</v>
      </c>
      <c r="B231" s="82"/>
      <c r="C231" s="98" t="s">
        <v>334</v>
      </c>
      <c r="D231" s="41">
        <f>D232+D234+D236</f>
        <v>4214.2</v>
      </c>
      <c r="E231" s="41">
        <f t="shared" ref="E231" si="57">E232+E234+E236</f>
        <v>241.20000000000002</v>
      </c>
      <c r="F231" s="93">
        <f t="shared" si="49"/>
        <v>5.7</v>
      </c>
    </row>
    <row r="232" spans="1:6" ht="40.200000000000003" x14ac:dyDescent="0.3">
      <c r="A232" s="82" t="s">
        <v>456</v>
      </c>
      <c r="B232" s="30"/>
      <c r="C232" s="96" t="s">
        <v>162</v>
      </c>
      <c r="D232" s="41">
        <f>D233</f>
        <v>27.9</v>
      </c>
      <c r="E232" s="41">
        <f t="shared" ref="E232" si="58">E233</f>
        <v>27.9</v>
      </c>
      <c r="F232" s="93">
        <f t="shared" si="49"/>
        <v>100</v>
      </c>
    </row>
    <row r="233" spans="1:6" ht="39.6" x14ac:dyDescent="0.25">
      <c r="A233" s="82" t="s">
        <v>456</v>
      </c>
      <c r="B233" s="82" t="s">
        <v>205</v>
      </c>
      <c r="C233" s="97" t="s">
        <v>206</v>
      </c>
      <c r="D233" s="41">
        <f>36-8.1</f>
        <v>27.9</v>
      </c>
      <c r="E233" s="41">
        <f>36-8.1</f>
        <v>27.9</v>
      </c>
      <c r="F233" s="93">
        <f t="shared" si="49"/>
        <v>100</v>
      </c>
    </row>
    <row r="234" spans="1:6" ht="54" customHeight="1" x14ac:dyDescent="0.25">
      <c r="A234" s="82" t="s">
        <v>599</v>
      </c>
      <c r="B234" s="82"/>
      <c r="C234" s="97" t="s">
        <v>603</v>
      </c>
      <c r="D234" s="41">
        <f>D235</f>
        <v>213.3</v>
      </c>
      <c r="E234" s="41">
        <f t="shared" ref="E234" si="59">E235</f>
        <v>213.3</v>
      </c>
      <c r="F234" s="93">
        <f t="shared" si="49"/>
        <v>100</v>
      </c>
    </row>
    <row r="235" spans="1:6" ht="39.6" x14ac:dyDescent="0.25">
      <c r="A235" s="82" t="s">
        <v>599</v>
      </c>
      <c r="B235" s="82" t="s">
        <v>205</v>
      </c>
      <c r="C235" s="97" t="s">
        <v>206</v>
      </c>
      <c r="D235" s="41">
        <f>250-43.7+7</f>
        <v>213.3</v>
      </c>
      <c r="E235" s="41">
        <f>250-43.7+7</f>
        <v>213.3</v>
      </c>
      <c r="F235" s="93">
        <f t="shared" si="49"/>
        <v>100</v>
      </c>
    </row>
    <row r="236" spans="1:6" ht="27" customHeight="1" x14ac:dyDescent="0.25">
      <c r="A236" s="21" t="s">
        <v>618</v>
      </c>
      <c r="B236" s="16"/>
      <c r="C236" s="98" t="s">
        <v>669</v>
      </c>
      <c r="D236" s="39">
        <f>D237</f>
        <v>3973</v>
      </c>
      <c r="E236" s="39">
        <f t="shared" ref="E236" si="60">E237</f>
        <v>0</v>
      </c>
      <c r="F236" s="93">
        <f t="shared" si="49"/>
        <v>0</v>
      </c>
    </row>
    <row r="237" spans="1:6" ht="39.6" x14ac:dyDescent="0.25">
      <c r="A237" s="21" t="s">
        <v>618</v>
      </c>
      <c r="B237" s="82" t="s">
        <v>205</v>
      </c>
      <c r="C237" s="97" t="s">
        <v>206</v>
      </c>
      <c r="D237" s="39">
        <f>43.7+3929.3</f>
        <v>3973</v>
      </c>
      <c r="E237" s="39">
        <v>0</v>
      </c>
      <c r="F237" s="93">
        <f t="shared" si="49"/>
        <v>0</v>
      </c>
    </row>
    <row r="238" spans="1:6" ht="75.75" customHeight="1" x14ac:dyDescent="0.3">
      <c r="A238" s="76">
        <v>400000000</v>
      </c>
      <c r="B238" s="30"/>
      <c r="C238" s="139" t="s">
        <v>563</v>
      </c>
      <c r="D238" s="95">
        <f>D239+D259+D272</f>
        <v>23511.5</v>
      </c>
      <c r="E238" s="95">
        <f>E239+E259+E272</f>
        <v>23489.1</v>
      </c>
      <c r="F238" s="62">
        <f t="shared" si="49"/>
        <v>99.9</v>
      </c>
    </row>
    <row r="239" spans="1:6" ht="53.4" x14ac:dyDescent="0.3">
      <c r="A239" s="75">
        <v>410000000</v>
      </c>
      <c r="B239" s="30"/>
      <c r="C239" s="46" t="s">
        <v>457</v>
      </c>
      <c r="D239" s="92">
        <f>D240+D243+D250</f>
        <v>2436.4</v>
      </c>
      <c r="E239" s="92">
        <f>E240+E243+E250</f>
        <v>2436.4</v>
      </c>
      <c r="F239" s="58">
        <f t="shared" si="49"/>
        <v>100</v>
      </c>
    </row>
    <row r="240" spans="1:6" ht="40.200000000000003" x14ac:dyDescent="0.3">
      <c r="A240" s="74">
        <v>410100000</v>
      </c>
      <c r="B240" s="30"/>
      <c r="C240" s="96" t="s">
        <v>458</v>
      </c>
      <c r="D240" s="188">
        <f t="shared" ref="D240:E241" si="61">D241</f>
        <v>1048.8</v>
      </c>
      <c r="E240" s="188">
        <f t="shared" si="61"/>
        <v>1048.8</v>
      </c>
      <c r="F240" s="93">
        <f t="shared" si="49"/>
        <v>100</v>
      </c>
    </row>
    <row r="241" spans="1:6" ht="26.4" x14ac:dyDescent="0.25">
      <c r="A241" s="133" t="s">
        <v>632</v>
      </c>
      <c r="B241" s="16"/>
      <c r="C241" s="98" t="s">
        <v>164</v>
      </c>
      <c r="D241" s="39">
        <f t="shared" si="61"/>
        <v>1048.8</v>
      </c>
      <c r="E241" s="39">
        <f t="shared" si="61"/>
        <v>1048.8</v>
      </c>
      <c r="F241" s="93">
        <f t="shared" si="49"/>
        <v>100</v>
      </c>
    </row>
    <row r="242" spans="1:6" ht="39.6" x14ac:dyDescent="0.25">
      <c r="A242" s="133" t="s">
        <v>632</v>
      </c>
      <c r="B242" s="82" t="s">
        <v>205</v>
      </c>
      <c r="C242" s="97" t="s">
        <v>206</v>
      </c>
      <c r="D242" s="39">
        <f>1382.3-333.5</f>
        <v>1048.8</v>
      </c>
      <c r="E242" s="39">
        <v>1048.8</v>
      </c>
      <c r="F242" s="93">
        <f t="shared" si="49"/>
        <v>100</v>
      </c>
    </row>
    <row r="243" spans="1:6" ht="53.4" x14ac:dyDescent="0.3">
      <c r="A243" s="74">
        <v>410200000</v>
      </c>
      <c r="B243" s="30"/>
      <c r="C243" s="96" t="s">
        <v>461</v>
      </c>
      <c r="D243" s="39">
        <f>D244+D246+D248</f>
        <v>187.7</v>
      </c>
      <c r="E243" s="39">
        <f>E244+E246+E248</f>
        <v>187.7</v>
      </c>
      <c r="F243" s="93">
        <f t="shared" si="49"/>
        <v>100</v>
      </c>
    </row>
    <row r="244" spans="1:6" ht="68.25" customHeight="1" x14ac:dyDescent="0.25">
      <c r="A244" s="133" t="s">
        <v>627</v>
      </c>
      <c r="B244" s="82"/>
      <c r="C244" s="97" t="s">
        <v>578</v>
      </c>
      <c r="D244" s="39">
        <f t="shared" ref="D244:E244" si="62">D245</f>
        <v>75.2</v>
      </c>
      <c r="E244" s="39">
        <f t="shared" si="62"/>
        <v>75.2</v>
      </c>
      <c r="F244" s="93">
        <f t="shared" si="49"/>
        <v>100</v>
      </c>
    </row>
    <row r="245" spans="1:6" ht="39.6" x14ac:dyDescent="0.25">
      <c r="A245" s="133" t="s">
        <v>627</v>
      </c>
      <c r="B245" s="82" t="s">
        <v>205</v>
      </c>
      <c r="C245" s="97" t="s">
        <v>206</v>
      </c>
      <c r="D245" s="39">
        <f>50+5+20.2</f>
        <v>75.2</v>
      </c>
      <c r="E245" s="39">
        <f>50+5+20.2</f>
        <v>75.2</v>
      </c>
      <c r="F245" s="93">
        <f t="shared" si="49"/>
        <v>100</v>
      </c>
    </row>
    <row r="246" spans="1:6" ht="27" customHeight="1" x14ac:dyDescent="0.25">
      <c r="A246" s="133" t="s">
        <v>626</v>
      </c>
      <c r="B246" s="82"/>
      <c r="C246" s="97" t="s">
        <v>459</v>
      </c>
      <c r="D246" s="39">
        <f>D247</f>
        <v>30</v>
      </c>
      <c r="E246" s="39">
        <f>E247</f>
        <v>30</v>
      </c>
      <c r="F246" s="93">
        <f t="shared" si="49"/>
        <v>100</v>
      </c>
    </row>
    <row r="247" spans="1:6" ht="39.6" x14ac:dyDescent="0.25">
      <c r="A247" s="133" t="s">
        <v>626</v>
      </c>
      <c r="B247" s="82" t="s">
        <v>205</v>
      </c>
      <c r="C247" s="97" t="s">
        <v>206</v>
      </c>
      <c r="D247" s="39">
        <v>30</v>
      </c>
      <c r="E247" s="39">
        <v>30</v>
      </c>
      <c r="F247" s="93">
        <f t="shared" si="49"/>
        <v>100</v>
      </c>
    </row>
    <row r="248" spans="1:6" ht="39.6" x14ac:dyDescent="0.25">
      <c r="A248" s="133" t="s">
        <v>625</v>
      </c>
      <c r="B248" s="82"/>
      <c r="C248" s="97" t="s">
        <v>579</v>
      </c>
      <c r="D248" s="39">
        <f>D249</f>
        <v>82.5</v>
      </c>
      <c r="E248" s="39">
        <f t="shared" ref="E248" si="63">E249</f>
        <v>82.5</v>
      </c>
      <c r="F248" s="93">
        <f t="shared" si="49"/>
        <v>100</v>
      </c>
    </row>
    <row r="249" spans="1:6" ht="39.6" x14ac:dyDescent="0.25">
      <c r="A249" s="133" t="s">
        <v>625</v>
      </c>
      <c r="B249" s="82" t="s">
        <v>205</v>
      </c>
      <c r="C249" s="97" t="s">
        <v>206</v>
      </c>
      <c r="D249" s="39">
        <v>82.5</v>
      </c>
      <c r="E249" s="39">
        <v>82.5</v>
      </c>
      <c r="F249" s="93">
        <f t="shared" si="49"/>
        <v>100</v>
      </c>
    </row>
    <row r="250" spans="1:6" ht="39.6" x14ac:dyDescent="0.25">
      <c r="A250" s="133" t="s">
        <v>463</v>
      </c>
      <c r="B250" s="82"/>
      <c r="C250" s="96" t="s">
        <v>462</v>
      </c>
      <c r="D250" s="39">
        <f>D251+D253+D255+D257</f>
        <v>1199.9000000000001</v>
      </c>
      <c r="E250" s="39">
        <f>E251+E253+E255+E257</f>
        <v>1199.9000000000001</v>
      </c>
      <c r="F250" s="93">
        <f t="shared" si="49"/>
        <v>100</v>
      </c>
    </row>
    <row r="251" spans="1:6" ht="52.5" customHeight="1" x14ac:dyDescent="0.25">
      <c r="A251" s="133" t="s">
        <v>628</v>
      </c>
      <c r="B251" s="82"/>
      <c r="C251" s="97" t="s">
        <v>580</v>
      </c>
      <c r="D251" s="39">
        <f>D252</f>
        <v>150</v>
      </c>
      <c r="E251" s="39">
        <f t="shared" ref="E251" si="64">E252</f>
        <v>150</v>
      </c>
      <c r="F251" s="93">
        <f t="shared" si="49"/>
        <v>100</v>
      </c>
    </row>
    <row r="252" spans="1:6" ht="66" x14ac:dyDescent="0.25">
      <c r="A252" s="133" t="s">
        <v>628</v>
      </c>
      <c r="B252" s="16" t="s">
        <v>12</v>
      </c>
      <c r="C252" s="97" t="s">
        <v>361</v>
      </c>
      <c r="D252" s="39">
        <v>150</v>
      </c>
      <c r="E252" s="39">
        <v>150</v>
      </c>
      <c r="F252" s="93">
        <f t="shared" si="49"/>
        <v>100</v>
      </c>
    </row>
    <row r="253" spans="1:6" ht="88.5" customHeight="1" x14ac:dyDescent="0.25">
      <c r="A253" s="133" t="s">
        <v>629</v>
      </c>
      <c r="B253" s="82"/>
      <c r="C253" s="97" t="s">
        <v>464</v>
      </c>
      <c r="D253" s="39">
        <f>D254</f>
        <v>80</v>
      </c>
      <c r="E253" s="39">
        <f t="shared" ref="E253" si="65">E254</f>
        <v>80</v>
      </c>
      <c r="F253" s="93">
        <f t="shared" si="49"/>
        <v>100</v>
      </c>
    </row>
    <row r="254" spans="1:6" ht="66" x14ac:dyDescent="0.25">
      <c r="A254" s="133" t="s">
        <v>629</v>
      </c>
      <c r="B254" s="16" t="s">
        <v>12</v>
      </c>
      <c r="C254" s="97" t="s">
        <v>361</v>
      </c>
      <c r="D254" s="39">
        <v>80</v>
      </c>
      <c r="E254" s="39">
        <v>80</v>
      </c>
      <c r="F254" s="93">
        <f t="shared" si="49"/>
        <v>100</v>
      </c>
    </row>
    <row r="255" spans="1:6" ht="81" customHeight="1" x14ac:dyDescent="0.25">
      <c r="A255" s="133" t="s">
        <v>630</v>
      </c>
      <c r="B255" s="82"/>
      <c r="C255" s="97" t="s">
        <v>465</v>
      </c>
      <c r="D255" s="39">
        <f>D256</f>
        <v>700</v>
      </c>
      <c r="E255" s="39">
        <f t="shared" ref="E255" si="66">E256</f>
        <v>700</v>
      </c>
      <c r="F255" s="93">
        <f t="shared" si="49"/>
        <v>100</v>
      </c>
    </row>
    <row r="256" spans="1:6" ht="66" x14ac:dyDescent="0.25">
      <c r="A256" s="133" t="s">
        <v>630</v>
      </c>
      <c r="B256" s="16" t="s">
        <v>12</v>
      </c>
      <c r="C256" s="97" t="s">
        <v>361</v>
      </c>
      <c r="D256" s="39">
        <v>700</v>
      </c>
      <c r="E256" s="39">
        <v>700</v>
      </c>
      <c r="F256" s="93">
        <f t="shared" si="49"/>
        <v>100</v>
      </c>
    </row>
    <row r="257" spans="1:6" ht="80.25" customHeight="1" x14ac:dyDescent="0.25">
      <c r="A257" s="133" t="s">
        <v>631</v>
      </c>
      <c r="B257" s="16"/>
      <c r="C257" s="97" t="s">
        <v>581</v>
      </c>
      <c r="D257" s="39">
        <f>D258</f>
        <v>269.89999999999998</v>
      </c>
      <c r="E257" s="39">
        <f t="shared" ref="E257" si="67">E258</f>
        <v>269.89999999999998</v>
      </c>
      <c r="F257" s="93">
        <f t="shared" si="49"/>
        <v>100</v>
      </c>
    </row>
    <row r="258" spans="1:6" ht="66" x14ac:dyDescent="0.25">
      <c r="A258" s="133" t="s">
        <v>631</v>
      </c>
      <c r="B258" s="16" t="s">
        <v>12</v>
      </c>
      <c r="C258" s="97" t="s">
        <v>361</v>
      </c>
      <c r="D258" s="39">
        <f>356-86.1</f>
        <v>269.89999999999998</v>
      </c>
      <c r="E258" s="39">
        <f>356-86.1</f>
        <v>269.89999999999998</v>
      </c>
      <c r="F258" s="93">
        <f t="shared" si="49"/>
        <v>100</v>
      </c>
    </row>
    <row r="259" spans="1:6" ht="53.4" x14ac:dyDescent="0.3">
      <c r="A259" s="75">
        <v>420000000</v>
      </c>
      <c r="B259" s="30"/>
      <c r="C259" s="46" t="s">
        <v>226</v>
      </c>
      <c r="D259" s="92">
        <f>D260+D267</f>
        <v>3836.5</v>
      </c>
      <c r="E259" s="92">
        <f>E260+E267</f>
        <v>3836.5</v>
      </c>
      <c r="F259" s="58">
        <f t="shared" si="49"/>
        <v>100</v>
      </c>
    </row>
    <row r="260" spans="1:6" ht="105.6" x14ac:dyDescent="0.25">
      <c r="A260" s="74">
        <v>420100000</v>
      </c>
      <c r="B260" s="16"/>
      <c r="C260" s="96" t="s">
        <v>466</v>
      </c>
      <c r="D260" s="41">
        <f>D261+D263+D265</f>
        <v>2824.4</v>
      </c>
      <c r="E260" s="41">
        <f>E261+E263+E265</f>
        <v>2824.4</v>
      </c>
      <c r="F260" s="93">
        <f t="shared" ref="F260:F316" si="68">ROUND((E260/D260*100),1)</f>
        <v>100</v>
      </c>
    </row>
    <row r="261" spans="1:6" ht="39.6" x14ac:dyDescent="0.25">
      <c r="A261" s="74" t="s">
        <v>467</v>
      </c>
      <c r="B261" s="16"/>
      <c r="C261" s="97" t="s">
        <v>350</v>
      </c>
      <c r="D261" s="41">
        <f>D262</f>
        <v>600</v>
      </c>
      <c r="E261" s="41">
        <f t="shared" ref="E261" si="69">E262</f>
        <v>600</v>
      </c>
      <c r="F261" s="93">
        <f t="shared" si="68"/>
        <v>100</v>
      </c>
    </row>
    <row r="262" spans="1:6" ht="66" x14ac:dyDescent="0.25">
      <c r="A262" s="74" t="s">
        <v>467</v>
      </c>
      <c r="B262" s="16" t="s">
        <v>19</v>
      </c>
      <c r="C262" s="98" t="s">
        <v>356</v>
      </c>
      <c r="D262" s="41">
        <v>600</v>
      </c>
      <c r="E262" s="41">
        <v>600</v>
      </c>
      <c r="F262" s="93">
        <f t="shared" si="68"/>
        <v>100</v>
      </c>
    </row>
    <row r="263" spans="1:6" ht="66" customHeight="1" x14ac:dyDescent="0.25">
      <c r="A263" s="74">
        <v>420123230</v>
      </c>
      <c r="B263" s="16"/>
      <c r="C263" s="98" t="s">
        <v>696</v>
      </c>
      <c r="D263" s="41">
        <f>D264</f>
        <v>1300</v>
      </c>
      <c r="E263" s="41">
        <f t="shared" ref="E263" si="70">E264</f>
        <v>1300</v>
      </c>
      <c r="F263" s="93">
        <f t="shared" si="68"/>
        <v>100</v>
      </c>
    </row>
    <row r="264" spans="1:6" ht="39.6" x14ac:dyDescent="0.25">
      <c r="A264" s="74">
        <v>420123230</v>
      </c>
      <c r="B264" s="82" t="s">
        <v>205</v>
      </c>
      <c r="C264" s="97" t="s">
        <v>206</v>
      </c>
      <c r="D264" s="41">
        <f>1200+100</f>
        <v>1300</v>
      </c>
      <c r="E264" s="41">
        <v>1300</v>
      </c>
      <c r="F264" s="93">
        <f t="shared" si="68"/>
        <v>100</v>
      </c>
    </row>
    <row r="265" spans="1:6" ht="39.6" x14ac:dyDescent="0.25">
      <c r="A265" s="74">
        <v>420110320</v>
      </c>
      <c r="B265" s="1"/>
      <c r="C265" s="132" t="s">
        <v>468</v>
      </c>
      <c r="D265" s="41">
        <f>D266</f>
        <v>924.4</v>
      </c>
      <c r="E265" s="41">
        <f t="shared" ref="E265" si="71">E266</f>
        <v>924.4</v>
      </c>
      <c r="F265" s="93">
        <f t="shared" si="68"/>
        <v>100</v>
      </c>
    </row>
    <row r="266" spans="1:6" ht="66" x14ac:dyDescent="0.25">
      <c r="A266" s="74">
        <v>420110320</v>
      </c>
      <c r="B266" s="16" t="s">
        <v>19</v>
      </c>
      <c r="C266" s="98" t="s">
        <v>356</v>
      </c>
      <c r="D266" s="41">
        <f>895.5+28.9</f>
        <v>924.4</v>
      </c>
      <c r="E266" s="41">
        <v>924.4</v>
      </c>
      <c r="F266" s="93">
        <f t="shared" si="68"/>
        <v>100</v>
      </c>
    </row>
    <row r="267" spans="1:6" ht="102" customHeight="1" x14ac:dyDescent="0.25">
      <c r="A267" s="74">
        <v>420200000</v>
      </c>
      <c r="B267" s="16"/>
      <c r="C267" s="96" t="s">
        <v>469</v>
      </c>
      <c r="D267" s="41">
        <f>D268+D270</f>
        <v>1012.0999999999999</v>
      </c>
      <c r="E267" s="41">
        <f t="shared" ref="E267" si="72">E268+E270</f>
        <v>1012.0999999999999</v>
      </c>
      <c r="F267" s="93">
        <f t="shared" si="68"/>
        <v>100</v>
      </c>
    </row>
    <row r="268" spans="1:6" ht="66" x14ac:dyDescent="0.3">
      <c r="A268" s="74">
        <v>420223235</v>
      </c>
      <c r="B268" s="30"/>
      <c r="C268" s="97" t="s">
        <v>697</v>
      </c>
      <c r="D268" s="41">
        <f>D269</f>
        <v>575.29999999999995</v>
      </c>
      <c r="E268" s="41">
        <f>E269</f>
        <v>575.29999999999995</v>
      </c>
      <c r="F268" s="93">
        <f t="shared" si="68"/>
        <v>100</v>
      </c>
    </row>
    <row r="269" spans="1:6" ht="39.6" x14ac:dyDescent="0.25">
      <c r="A269" s="74">
        <v>420223235</v>
      </c>
      <c r="B269" s="82" t="s">
        <v>205</v>
      </c>
      <c r="C269" s="97" t="s">
        <v>206</v>
      </c>
      <c r="D269" s="41">
        <v>575.29999999999995</v>
      </c>
      <c r="E269" s="41">
        <v>575.29999999999995</v>
      </c>
      <c r="F269" s="93">
        <f t="shared" si="68"/>
        <v>100</v>
      </c>
    </row>
    <row r="270" spans="1:6" ht="52.8" x14ac:dyDescent="0.25">
      <c r="A270" s="74">
        <v>420223240</v>
      </c>
      <c r="B270" s="82"/>
      <c r="C270" s="97" t="s">
        <v>698</v>
      </c>
      <c r="D270" s="41">
        <f>D271</f>
        <v>436.8</v>
      </c>
      <c r="E270" s="41">
        <f t="shared" ref="E270" si="73">E271</f>
        <v>436.8</v>
      </c>
      <c r="F270" s="93">
        <f t="shared" si="68"/>
        <v>100</v>
      </c>
    </row>
    <row r="271" spans="1:6" ht="39.6" x14ac:dyDescent="0.25">
      <c r="A271" s="74">
        <v>420223240</v>
      </c>
      <c r="B271" s="82" t="s">
        <v>205</v>
      </c>
      <c r="C271" s="97" t="s">
        <v>206</v>
      </c>
      <c r="D271" s="41">
        <v>436.8</v>
      </c>
      <c r="E271" s="41">
        <v>436.8</v>
      </c>
      <c r="F271" s="93">
        <f t="shared" si="68"/>
        <v>100</v>
      </c>
    </row>
    <row r="272" spans="1:6" ht="77.25" customHeight="1" x14ac:dyDescent="0.25">
      <c r="A272" s="75">
        <v>430000000</v>
      </c>
      <c r="B272" s="16"/>
      <c r="C272" s="46" t="s">
        <v>659</v>
      </c>
      <c r="D272" s="92">
        <f>D273+D278</f>
        <v>17238.599999999999</v>
      </c>
      <c r="E272" s="92">
        <f>E273+E278</f>
        <v>17216.2</v>
      </c>
      <c r="F272" s="58">
        <f t="shared" si="68"/>
        <v>99.9</v>
      </c>
    </row>
    <row r="273" spans="1:6" ht="53.4" x14ac:dyDescent="0.3">
      <c r="A273" s="74">
        <v>430100000</v>
      </c>
      <c r="B273" s="30"/>
      <c r="C273" s="96" t="s">
        <v>227</v>
      </c>
      <c r="D273" s="39">
        <f>D274+D276</f>
        <v>1564.1</v>
      </c>
      <c r="E273" s="39">
        <f t="shared" ref="E273" si="74">E274+E276</f>
        <v>1562.1</v>
      </c>
      <c r="F273" s="93">
        <f t="shared" si="68"/>
        <v>99.9</v>
      </c>
    </row>
    <row r="274" spans="1:6" ht="105.6" x14ac:dyDescent="0.25">
      <c r="A274" s="79">
        <v>430127310</v>
      </c>
      <c r="B274" s="16"/>
      <c r="C274" s="97" t="s">
        <v>577</v>
      </c>
      <c r="D274" s="41">
        <f>D275</f>
        <v>1418.5</v>
      </c>
      <c r="E274" s="41">
        <f>E275</f>
        <v>1418.5</v>
      </c>
      <c r="F274" s="93">
        <f t="shared" si="68"/>
        <v>100</v>
      </c>
    </row>
    <row r="275" spans="1:6" ht="66" x14ac:dyDescent="0.25">
      <c r="A275" s="79">
        <v>430127310</v>
      </c>
      <c r="B275" s="16" t="s">
        <v>12</v>
      </c>
      <c r="C275" s="97" t="s">
        <v>315</v>
      </c>
      <c r="D275" s="41">
        <f>1000+339+79.5</f>
        <v>1418.5</v>
      </c>
      <c r="E275" s="41">
        <v>1418.5</v>
      </c>
      <c r="F275" s="93">
        <f t="shared" si="68"/>
        <v>100</v>
      </c>
    </row>
    <row r="276" spans="1:6" ht="102" customHeight="1" x14ac:dyDescent="0.25">
      <c r="A276" s="79">
        <v>430127320</v>
      </c>
      <c r="B276" s="16"/>
      <c r="C276" s="97" t="s">
        <v>472</v>
      </c>
      <c r="D276" s="41">
        <f>D277</f>
        <v>145.60000000000002</v>
      </c>
      <c r="E276" s="41">
        <f t="shared" ref="E276" si="75">E277</f>
        <v>143.6</v>
      </c>
      <c r="F276" s="93">
        <f t="shared" si="68"/>
        <v>98.6</v>
      </c>
    </row>
    <row r="277" spans="1:6" ht="66" x14ac:dyDescent="0.25">
      <c r="A277" s="79">
        <v>430127320</v>
      </c>
      <c r="B277" s="16" t="s">
        <v>12</v>
      </c>
      <c r="C277" s="97" t="s">
        <v>315</v>
      </c>
      <c r="D277" s="41">
        <f>180.9-35.3</f>
        <v>145.60000000000002</v>
      </c>
      <c r="E277" s="41">
        <v>143.6</v>
      </c>
      <c r="F277" s="93">
        <f t="shared" si="68"/>
        <v>98.6</v>
      </c>
    </row>
    <row r="278" spans="1:6" ht="39.6" x14ac:dyDescent="0.25">
      <c r="A278" s="74">
        <v>430200000</v>
      </c>
      <c r="B278" s="82"/>
      <c r="C278" s="96" t="s">
        <v>287</v>
      </c>
      <c r="D278" s="41">
        <f>D279+D281+D283+D285+D287+D289</f>
        <v>15674.5</v>
      </c>
      <c r="E278" s="41">
        <f t="shared" ref="E278" si="76">E279+E281+E283+E285+E287+E289</f>
        <v>15654.1</v>
      </c>
      <c r="F278" s="93">
        <f t="shared" si="68"/>
        <v>99.9</v>
      </c>
    </row>
    <row r="279" spans="1:6" ht="105.6" x14ac:dyDescent="0.25">
      <c r="A279" s="74">
        <v>430227340</v>
      </c>
      <c r="B279" s="16"/>
      <c r="C279" s="97" t="s">
        <v>595</v>
      </c>
      <c r="D279" s="39">
        <f>D280</f>
        <v>1540.3</v>
      </c>
      <c r="E279" s="39">
        <f t="shared" ref="E279" si="77">E280</f>
        <v>1540.3</v>
      </c>
      <c r="F279" s="93">
        <f t="shared" si="68"/>
        <v>100</v>
      </c>
    </row>
    <row r="280" spans="1:6" ht="66" x14ac:dyDescent="0.25">
      <c r="A280" s="74">
        <v>430227340</v>
      </c>
      <c r="B280" s="16" t="s">
        <v>12</v>
      </c>
      <c r="C280" s="97" t="s">
        <v>315</v>
      </c>
      <c r="D280" s="39">
        <f>1720-80-99.7</f>
        <v>1540.3</v>
      </c>
      <c r="E280" s="39">
        <v>1540.3</v>
      </c>
      <c r="F280" s="93">
        <f t="shared" si="68"/>
        <v>100</v>
      </c>
    </row>
    <row r="281" spans="1:6" ht="118.8" x14ac:dyDescent="0.25">
      <c r="A281" s="74">
        <v>430227350</v>
      </c>
      <c r="B281" s="16"/>
      <c r="C281" s="97" t="s">
        <v>582</v>
      </c>
      <c r="D281" s="39">
        <f>D282</f>
        <v>22.9</v>
      </c>
      <c r="E281" s="39">
        <f t="shared" ref="E281" si="78">E282</f>
        <v>21</v>
      </c>
      <c r="F281" s="93">
        <f t="shared" si="68"/>
        <v>91.7</v>
      </c>
    </row>
    <row r="282" spans="1:6" ht="66" x14ac:dyDescent="0.25">
      <c r="A282" s="74">
        <v>430227350</v>
      </c>
      <c r="B282" s="16" t="s">
        <v>12</v>
      </c>
      <c r="C282" s="97" t="s">
        <v>315</v>
      </c>
      <c r="D282" s="39">
        <f>21.7+1.2</f>
        <v>22.9</v>
      </c>
      <c r="E282" s="39">
        <v>21</v>
      </c>
      <c r="F282" s="93">
        <f t="shared" si="68"/>
        <v>91.7</v>
      </c>
    </row>
    <row r="283" spans="1:6" ht="118.8" x14ac:dyDescent="0.25">
      <c r="A283" s="74">
        <v>430227360</v>
      </c>
      <c r="B283" s="16"/>
      <c r="C283" s="97" t="s">
        <v>583</v>
      </c>
      <c r="D283" s="39">
        <f>D284</f>
        <v>5953.4000000000005</v>
      </c>
      <c r="E283" s="39">
        <f>E284</f>
        <v>5934.9</v>
      </c>
      <c r="F283" s="93">
        <f t="shared" si="68"/>
        <v>99.7</v>
      </c>
    </row>
    <row r="284" spans="1:6" ht="66" x14ac:dyDescent="0.25">
      <c r="A284" s="74">
        <v>430227360</v>
      </c>
      <c r="B284" s="16" t="s">
        <v>12</v>
      </c>
      <c r="C284" s="97" t="s">
        <v>315</v>
      </c>
      <c r="D284" s="39">
        <f>5227.7+586.1+300-160.4</f>
        <v>5953.4000000000005</v>
      </c>
      <c r="E284" s="39">
        <v>5934.9</v>
      </c>
      <c r="F284" s="93">
        <f t="shared" si="68"/>
        <v>99.7</v>
      </c>
    </row>
    <row r="285" spans="1:6" ht="171.6" x14ac:dyDescent="0.25">
      <c r="A285" s="74">
        <v>430227370</v>
      </c>
      <c r="B285" s="16"/>
      <c r="C285" s="97" t="s">
        <v>596</v>
      </c>
      <c r="D285" s="39">
        <f>D286</f>
        <v>642.09999999999991</v>
      </c>
      <c r="E285" s="39">
        <f t="shared" ref="E285" si="79">E286</f>
        <v>642.1</v>
      </c>
      <c r="F285" s="93">
        <f t="shared" si="68"/>
        <v>100</v>
      </c>
    </row>
    <row r="286" spans="1:6" ht="66" x14ac:dyDescent="0.25">
      <c r="A286" s="74">
        <v>430227370</v>
      </c>
      <c r="B286" s="16" t="s">
        <v>12</v>
      </c>
      <c r="C286" s="97" t="s">
        <v>315</v>
      </c>
      <c r="D286" s="39">
        <f>1606.6-900-64.5</f>
        <v>642.09999999999991</v>
      </c>
      <c r="E286" s="39">
        <v>642.1</v>
      </c>
      <c r="F286" s="93">
        <f t="shared" si="68"/>
        <v>100</v>
      </c>
    </row>
    <row r="287" spans="1:6" ht="113.25" customHeight="1" x14ac:dyDescent="0.25">
      <c r="A287" s="74">
        <v>430227390</v>
      </c>
      <c r="B287" s="16"/>
      <c r="C287" s="97" t="s">
        <v>656</v>
      </c>
      <c r="D287" s="39">
        <f>D288</f>
        <v>3115.8</v>
      </c>
      <c r="E287" s="39">
        <f t="shared" ref="E287" si="80">E288</f>
        <v>3115.8</v>
      </c>
      <c r="F287" s="93">
        <f t="shared" si="68"/>
        <v>100</v>
      </c>
    </row>
    <row r="288" spans="1:6" ht="66" x14ac:dyDescent="0.25">
      <c r="A288" s="74">
        <v>430227390</v>
      </c>
      <c r="B288" s="16" t="s">
        <v>12</v>
      </c>
      <c r="C288" s="97" t="s">
        <v>315</v>
      </c>
      <c r="D288" s="39">
        <v>3115.8</v>
      </c>
      <c r="E288" s="39">
        <v>3115.8</v>
      </c>
      <c r="F288" s="93">
        <f t="shared" si="68"/>
        <v>100</v>
      </c>
    </row>
    <row r="289" spans="1:6" ht="105.6" x14ac:dyDescent="0.25">
      <c r="A289" s="74">
        <v>430227400</v>
      </c>
      <c r="B289" s="16"/>
      <c r="C289" s="97" t="s">
        <v>691</v>
      </c>
      <c r="D289" s="39">
        <f>D290</f>
        <v>4400</v>
      </c>
      <c r="E289" s="39">
        <f t="shared" ref="E289" si="81">E290</f>
        <v>4400</v>
      </c>
      <c r="F289" s="93">
        <f t="shared" si="68"/>
        <v>100</v>
      </c>
    </row>
    <row r="290" spans="1:6" ht="66" x14ac:dyDescent="0.25">
      <c r="A290" s="74">
        <v>430227400</v>
      </c>
      <c r="B290" s="16" t="s">
        <v>12</v>
      </c>
      <c r="C290" s="97" t="s">
        <v>315</v>
      </c>
      <c r="D290" s="39">
        <v>4400</v>
      </c>
      <c r="E290" s="39">
        <v>4400</v>
      </c>
      <c r="F290" s="93">
        <f t="shared" si="68"/>
        <v>100</v>
      </c>
    </row>
    <row r="291" spans="1:6" ht="75.75" customHeight="1" x14ac:dyDescent="0.25">
      <c r="A291" s="73" t="s">
        <v>149</v>
      </c>
      <c r="B291" s="16"/>
      <c r="C291" s="139" t="s">
        <v>562</v>
      </c>
      <c r="D291" s="95">
        <f>D292+D300+D310</f>
        <v>9279.4</v>
      </c>
      <c r="E291" s="95">
        <f>E292+E300+E310</f>
        <v>8737.2000000000007</v>
      </c>
      <c r="F291" s="62">
        <f t="shared" si="68"/>
        <v>94.2</v>
      </c>
    </row>
    <row r="292" spans="1:6" ht="39.6" x14ac:dyDescent="0.25">
      <c r="A292" s="52" t="s">
        <v>145</v>
      </c>
      <c r="B292" s="16"/>
      <c r="C292" s="48" t="s">
        <v>291</v>
      </c>
      <c r="D292" s="92">
        <f>D293+D297</f>
        <v>2195.5</v>
      </c>
      <c r="E292" s="92">
        <f t="shared" ref="E292" si="82">E293+E297</f>
        <v>1940.4</v>
      </c>
      <c r="F292" s="58">
        <f t="shared" si="68"/>
        <v>88.4</v>
      </c>
    </row>
    <row r="293" spans="1:6" ht="39.6" x14ac:dyDescent="0.25">
      <c r="A293" s="21" t="s">
        <v>258</v>
      </c>
      <c r="B293" s="16"/>
      <c r="C293" s="98" t="s">
        <v>260</v>
      </c>
      <c r="D293" s="92">
        <f>D294</f>
        <v>1741.2</v>
      </c>
      <c r="E293" s="92">
        <f>E294</f>
        <v>1486.1000000000001</v>
      </c>
      <c r="F293" s="93">
        <f t="shared" si="68"/>
        <v>85.3</v>
      </c>
    </row>
    <row r="294" spans="1:6" ht="39.6" x14ac:dyDescent="0.3">
      <c r="A294" s="134" t="s">
        <v>473</v>
      </c>
      <c r="B294" s="3"/>
      <c r="C294" s="97" t="s">
        <v>259</v>
      </c>
      <c r="D294" s="41">
        <f>SUM(D295:D296)</f>
        <v>1741.2</v>
      </c>
      <c r="E294" s="41">
        <f t="shared" ref="E294" si="83">SUM(E295:E296)</f>
        <v>1486.1000000000001</v>
      </c>
      <c r="F294" s="93">
        <f t="shared" si="68"/>
        <v>85.3</v>
      </c>
    </row>
    <row r="295" spans="1:6" ht="39.6" x14ac:dyDescent="0.25">
      <c r="A295" s="134" t="s">
        <v>473</v>
      </c>
      <c r="B295" s="82" t="s">
        <v>205</v>
      </c>
      <c r="C295" s="97" t="s">
        <v>206</v>
      </c>
      <c r="D295" s="41">
        <f>100+853.3+72.8+2.5+693.5+7.2</f>
        <v>1729.3</v>
      </c>
      <c r="E295" s="41">
        <v>1474.2</v>
      </c>
      <c r="F295" s="93">
        <f t="shared" si="68"/>
        <v>85.2</v>
      </c>
    </row>
    <row r="296" spans="1:6" x14ac:dyDescent="0.25">
      <c r="A296" s="134" t="s">
        <v>473</v>
      </c>
      <c r="B296" s="82" t="s">
        <v>652</v>
      </c>
      <c r="C296" s="97" t="s">
        <v>653</v>
      </c>
      <c r="D296" s="41">
        <f>7.6+4.3</f>
        <v>11.899999999999999</v>
      </c>
      <c r="E296" s="41">
        <v>11.9</v>
      </c>
      <c r="F296" s="93">
        <f t="shared" si="68"/>
        <v>100</v>
      </c>
    </row>
    <row r="297" spans="1:6" ht="39.6" x14ac:dyDescent="0.25">
      <c r="A297" s="21" t="s">
        <v>292</v>
      </c>
      <c r="B297" s="16"/>
      <c r="C297" s="98" t="s">
        <v>261</v>
      </c>
      <c r="D297" s="92">
        <f t="shared" ref="D297:E297" si="84">D298</f>
        <v>454.3</v>
      </c>
      <c r="E297" s="92">
        <f t="shared" si="84"/>
        <v>454.3</v>
      </c>
      <c r="F297" s="93">
        <f t="shared" si="68"/>
        <v>100</v>
      </c>
    </row>
    <row r="298" spans="1:6" ht="26.4" x14ac:dyDescent="0.3">
      <c r="A298" s="21" t="s">
        <v>474</v>
      </c>
      <c r="B298" s="3"/>
      <c r="C298" s="97" t="s">
        <v>332</v>
      </c>
      <c r="D298" s="41">
        <f>D299</f>
        <v>454.3</v>
      </c>
      <c r="E298" s="41">
        <f>E299</f>
        <v>454.3</v>
      </c>
      <c r="F298" s="93">
        <f t="shared" si="68"/>
        <v>100</v>
      </c>
    </row>
    <row r="299" spans="1:6" ht="39.6" x14ac:dyDescent="0.25">
      <c r="A299" s="21" t="s">
        <v>474</v>
      </c>
      <c r="B299" s="82" t="s">
        <v>205</v>
      </c>
      <c r="C299" s="97" t="s">
        <v>206</v>
      </c>
      <c r="D299" s="39">
        <f>800-222.5-123.2</f>
        <v>454.3</v>
      </c>
      <c r="E299" s="39">
        <v>454.3</v>
      </c>
      <c r="F299" s="93">
        <f t="shared" si="68"/>
        <v>100</v>
      </c>
    </row>
    <row r="300" spans="1:6" ht="39.6" x14ac:dyDescent="0.25">
      <c r="A300" s="52" t="s">
        <v>146</v>
      </c>
      <c r="B300" s="16"/>
      <c r="C300" s="48" t="s">
        <v>143</v>
      </c>
      <c r="D300" s="92">
        <f>D301+D306</f>
        <v>3549.5999999999995</v>
      </c>
      <c r="E300" s="92">
        <f>E301+E306</f>
        <v>3549.5999999999995</v>
      </c>
      <c r="F300" s="93">
        <f t="shared" si="68"/>
        <v>100</v>
      </c>
    </row>
    <row r="301" spans="1:6" ht="26.4" x14ac:dyDescent="0.25">
      <c r="A301" s="21" t="s">
        <v>262</v>
      </c>
      <c r="B301" s="82"/>
      <c r="C301" s="98" t="s">
        <v>263</v>
      </c>
      <c r="D301" s="92">
        <f>D302+D304</f>
        <v>215.7</v>
      </c>
      <c r="E301" s="92">
        <f>E302+E304</f>
        <v>215.7</v>
      </c>
      <c r="F301" s="93">
        <f t="shared" si="68"/>
        <v>100</v>
      </c>
    </row>
    <row r="302" spans="1:6" ht="39.6" x14ac:dyDescent="0.25">
      <c r="A302" s="79">
        <v>520123262</v>
      </c>
      <c r="B302" s="16"/>
      <c r="C302" s="97" t="s">
        <v>293</v>
      </c>
      <c r="D302" s="41">
        <f>D303</f>
        <v>15.7</v>
      </c>
      <c r="E302" s="41">
        <f>E303</f>
        <v>15.7</v>
      </c>
      <c r="F302" s="93">
        <f t="shared" si="68"/>
        <v>100</v>
      </c>
    </row>
    <row r="303" spans="1:6" ht="39.6" x14ac:dyDescent="0.25">
      <c r="A303" s="79">
        <v>520123262</v>
      </c>
      <c r="B303" s="82" t="s">
        <v>205</v>
      </c>
      <c r="C303" s="97" t="s">
        <v>206</v>
      </c>
      <c r="D303" s="41">
        <f>20-4.3</f>
        <v>15.7</v>
      </c>
      <c r="E303" s="41">
        <v>15.7</v>
      </c>
      <c r="F303" s="93">
        <f t="shared" si="68"/>
        <v>100</v>
      </c>
    </row>
    <row r="304" spans="1:6" ht="16.5" customHeight="1" x14ac:dyDescent="0.25">
      <c r="A304" s="134" t="s">
        <v>475</v>
      </c>
      <c r="B304" s="82"/>
      <c r="C304" s="97" t="s">
        <v>476</v>
      </c>
      <c r="D304" s="41">
        <f>D305</f>
        <v>200</v>
      </c>
      <c r="E304" s="41">
        <f t="shared" ref="E304" si="85">E305</f>
        <v>200</v>
      </c>
      <c r="F304" s="93">
        <f t="shared" si="68"/>
        <v>100</v>
      </c>
    </row>
    <row r="305" spans="1:6" ht="39.6" x14ac:dyDescent="0.25">
      <c r="A305" s="134" t="s">
        <v>475</v>
      </c>
      <c r="B305" s="82" t="s">
        <v>205</v>
      </c>
      <c r="C305" s="97" t="s">
        <v>206</v>
      </c>
      <c r="D305" s="41">
        <v>200</v>
      </c>
      <c r="E305" s="41">
        <v>200</v>
      </c>
      <c r="F305" s="93">
        <f t="shared" si="68"/>
        <v>100</v>
      </c>
    </row>
    <row r="306" spans="1:6" ht="26.4" x14ac:dyDescent="0.25">
      <c r="A306" s="21" t="s">
        <v>264</v>
      </c>
      <c r="B306" s="82"/>
      <c r="C306" s="98" t="s">
        <v>477</v>
      </c>
      <c r="D306" s="41">
        <f>D307</f>
        <v>3333.8999999999996</v>
      </c>
      <c r="E306" s="41">
        <f>E307</f>
        <v>3333.8999999999996</v>
      </c>
      <c r="F306" s="93">
        <f t="shared" si="68"/>
        <v>100</v>
      </c>
    </row>
    <row r="307" spans="1:6" ht="39" customHeight="1" x14ac:dyDescent="0.25">
      <c r="A307" s="79">
        <v>520223264</v>
      </c>
      <c r="B307" s="82"/>
      <c r="C307" s="97" t="s">
        <v>478</v>
      </c>
      <c r="D307" s="41">
        <f>SUM(D308:D309)</f>
        <v>3333.8999999999996</v>
      </c>
      <c r="E307" s="41">
        <f t="shared" ref="E307" si="86">E308+E309</f>
        <v>3333.8999999999996</v>
      </c>
      <c r="F307" s="93">
        <f t="shared" si="68"/>
        <v>100</v>
      </c>
    </row>
    <row r="308" spans="1:6" x14ac:dyDescent="0.25">
      <c r="A308" s="79">
        <v>520223264</v>
      </c>
      <c r="B308" s="82" t="s">
        <v>652</v>
      </c>
      <c r="C308" s="97" t="s">
        <v>653</v>
      </c>
      <c r="D308" s="41">
        <f>67.5+9.8+0.1+23.3</f>
        <v>100.69999999999999</v>
      </c>
      <c r="E308" s="41">
        <v>100.7</v>
      </c>
      <c r="F308" s="93">
        <f t="shared" si="68"/>
        <v>100</v>
      </c>
    </row>
    <row r="309" spans="1:6" x14ac:dyDescent="0.25">
      <c r="A309" s="79">
        <v>520223264</v>
      </c>
      <c r="B309" s="82" t="s">
        <v>129</v>
      </c>
      <c r="C309" s="97" t="s">
        <v>130</v>
      </c>
      <c r="D309" s="41">
        <f>1648+325.2+337+946.3-23.3</f>
        <v>3233.2</v>
      </c>
      <c r="E309" s="41">
        <v>3233.2</v>
      </c>
      <c r="F309" s="93">
        <f t="shared" si="68"/>
        <v>100</v>
      </c>
    </row>
    <row r="310" spans="1:6" ht="52.8" x14ac:dyDescent="0.25">
      <c r="A310" s="52" t="s">
        <v>147</v>
      </c>
      <c r="B310" s="16"/>
      <c r="C310" s="48" t="s">
        <v>144</v>
      </c>
      <c r="D310" s="92">
        <f>D311+D314</f>
        <v>3534.3</v>
      </c>
      <c r="E310" s="92">
        <f>E311+E314</f>
        <v>3247.2</v>
      </c>
      <c r="F310" s="93">
        <f t="shared" si="68"/>
        <v>91.9</v>
      </c>
    </row>
    <row r="311" spans="1:6" ht="62.25" customHeight="1" x14ac:dyDescent="0.25">
      <c r="A311" s="21" t="s">
        <v>267</v>
      </c>
      <c r="B311" s="82"/>
      <c r="C311" s="98" t="s">
        <v>305</v>
      </c>
      <c r="D311" s="39">
        <f t="shared" ref="D311:E312" si="87">D312</f>
        <v>1612.2000000000003</v>
      </c>
      <c r="E311" s="39">
        <f t="shared" si="87"/>
        <v>1325.1</v>
      </c>
      <c r="F311" s="93">
        <f t="shared" si="68"/>
        <v>82.2</v>
      </c>
    </row>
    <row r="312" spans="1:6" ht="66" x14ac:dyDescent="0.25">
      <c r="A312" s="79">
        <v>530123271</v>
      </c>
      <c r="B312" s="16"/>
      <c r="C312" s="97" t="s">
        <v>148</v>
      </c>
      <c r="D312" s="41">
        <f t="shared" si="87"/>
        <v>1612.2000000000003</v>
      </c>
      <c r="E312" s="41">
        <f t="shared" si="87"/>
        <v>1325.1</v>
      </c>
      <c r="F312" s="93">
        <f t="shared" si="68"/>
        <v>82.2</v>
      </c>
    </row>
    <row r="313" spans="1:6" ht="39.6" x14ac:dyDescent="0.25">
      <c r="A313" s="79">
        <v>530123271</v>
      </c>
      <c r="B313" s="82" t="s">
        <v>205</v>
      </c>
      <c r="C313" s="97" t="s">
        <v>206</v>
      </c>
      <c r="D313" s="1">
        <f>1461.4-6.8+123.2+22.9+11.5</f>
        <v>1612.2000000000003</v>
      </c>
      <c r="E313" s="39">
        <v>1325.1</v>
      </c>
      <c r="F313" s="93">
        <f t="shared" si="68"/>
        <v>82.2</v>
      </c>
    </row>
    <row r="314" spans="1:6" ht="52.8" x14ac:dyDescent="0.25">
      <c r="A314" s="21" t="s">
        <v>268</v>
      </c>
      <c r="B314" s="16"/>
      <c r="C314" s="98" t="s">
        <v>479</v>
      </c>
      <c r="D314" s="41">
        <f t="shared" ref="D314:E315" si="88">D315</f>
        <v>1922.1</v>
      </c>
      <c r="E314" s="41">
        <f t="shared" si="88"/>
        <v>1922.1</v>
      </c>
      <c r="F314" s="93">
        <f t="shared" si="68"/>
        <v>100</v>
      </c>
    </row>
    <row r="315" spans="1:6" ht="39" customHeight="1" x14ac:dyDescent="0.25">
      <c r="A315" s="79">
        <v>530223272</v>
      </c>
      <c r="B315" s="16"/>
      <c r="C315" s="97" t="s">
        <v>480</v>
      </c>
      <c r="D315" s="41">
        <f t="shared" si="88"/>
        <v>1922.1</v>
      </c>
      <c r="E315" s="41">
        <f t="shared" si="88"/>
        <v>1922.1</v>
      </c>
      <c r="F315" s="93">
        <f t="shared" si="68"/>
        <v>100</v>
      </c>
    </row>
    <row r="316" spans="1:6" ht="39.6" x14ac:dyDescent="0.25">
      <c r="A316" s="79">
        <v>530223272</v>
      </c>
      <c r="B316" s="82" t="s">
        <v>205</v>
      </c>
      <c r="C316" s="97" t="s">
        <v>206</v>
      </c>
      <c r="D316" s="41">
        <v>1922.1</v>
      </c>
      <c r="E316" s="41">
        <v>1922.1</v>
      </c>
      <c r="F316" s="93">
        <f t="shared" si="68"/>
        <v>100</v>
      </c>
    </row>
    <row r="317" spans="1:6" ht="79.5" customHeight="1" x14ac:dyDescent="0.25">
      <c r="A317" s="78" t="s">
        <v>66</v>
      </c>
      <c r="B317" s="16"/>
      <c r="C317" s="63" t="s">
        <v>561</v>
      </c>
      <c r="D317" s="95">
        <f t="shared" ref="D317:E320" si="89">D318</f>
        <v>524.5</v>
      </c>
      <c r="E317" s="95">
        <f t="shared" si="89"/>
        <v>520.9</v>
      </c>
      <c r="F317" s="62">
        <f t="shared" ref="F317:F380" si="90">ROUND((E317/D317*100),1)</f>
        <v>99.3</v>
      </c>
    </row>
    <row r="318" spans="1:6" ht="40.5" customHeight="1" x14ac:dyDescent="0.25">
      <c r="A318" s="77" t="s">
        <v>67</v>
      </c>
      <c r="B318" s="16"/>
      <c r="C318" s="60" t="s">
        <v>483</v>
      </c>
      <c r="D318" s="92">
        <f t="shared" si="89"/>
        <v>524.5</v>
      </c>
      <c r="E318" s="92">
        <f t="shared" si="89"/>
        <v>520.9</v>
      </c>
      <c r="F318" s="58">
        <f t="shared" si="90"/>
        <v>99.3</v>
      </c>
    </row>
    <row r="319" spans="1:6" ht="66" x14ac:dyDescent="0.25">
      <c r="A319" s="74">
        <v>610100000</v>
      </c>
      <c r="B319" s="16"/>
      <c r="C319" s="97" t="s">
        <v>482</v>
      </c>
      <c r="D319" s="39">
        <f>D320+D322</f>
        <v>524.5</v>
      </c>
      <c r="E319" s="39">
        <f t="shared" ref="E319" si="91">E320+E322</f>
        <v>520.9</v>
      </c>
      <c r="F319" s="93">
        <f t="shared" si="90"/>
        <v>99.3</v>
      </c>
    </row>
    <row r="320" spans="1:6" ht="39.6" x14ac:dyDescent="0.25">
      <c r="A320" s="135" t="s">
        <v>481</v>
      </c>
      <c r="B320" s="16"/>
      <c r="C320" s="97" t="s">
        <v>589</v>
      </c>
      <c r="D320" s="41">
        <f t="shared" si="89"/>
        <v>515.5</v>
      </c>
      <c r="E320" s="41">
        <f t="shared" si="89"/>
        <v>515.5</v>
      </c>
      <c r="F320" s="93">
        <f t="shared" si="90"/>
        <v>100</v>
      </c>
    </row>
    <row r="321" spans="1:7" ht="39.6" x14ac:dyDescent="0.25">
      <c r="A321" s="135" t="s">
        <v>481</v>
      </c>
      <c r="B321" s="82" t="s">
        <v>205</v>
      </c>
      <c r="C321" s="97" t="s">
        <v>206</v>
      </c>
      <c r="D321" s="41">
        <f>520.3+300-304.8</f>
        <v>515.5</v>
      </c>
      <c r="E321" s="41">
        <v>515.5</v>
      </c>
      <c r="F321" s="93">
        <f t="shared" si="90"/>
        <v>100</v>
      </c>
    </row>
    <row r="322" spans="1:7" ht="30" customHeight="1" x14ac:dyDescent="0.25">
      <c r="A322" s="135" t="s">
        <v>535</v>
      </c>
      <c r="B322" s="82"/>
      <c r="C322" s="97" t="s">
        <v>536</v>
      </c>
      <c r="D322" s="41">
        <f>D323</f>
        <v>9</v>
      </c>
      <c r="E322" s="41">
        <f t="shared" ref="E322" si="92">E323</f>
        <v>5.4</v>
      </c>
      <c r="F322" s="93">
        <f t="shared" si="90"/>
        <v>60</v>
      </c>
    </row>
    <row r="323" spans="1:7" ht="39.6" x14ac:dyDescent="0.25">
      <c r="A323" s="135" t="s">
        <v>535</v>
      </c>
      <c r="B323" s="82" t="s">
        <v>205</v>
      </c>
      <c r="C323" s="97" t="s">
        <v>206</v>
      </c>
      <c r="D323" s="41">
        <v>9</v>
      </c>
      <c r="E323" s="41">
        <v>5.4</v>
      </c>
      <c r="F323" s="93">
        <f t="shared" si="90"/>
        <v>60</v>
      </c>
    </row>
    <row r="324" spans="1:7" ht="90" customHeight="1" x14ac:dyDescent="0.25">
      <c r="A324" s="81" t="s">
        <v>33</v>
      </c>
      <c r="B324" s="16"/>
      <c r="C324" s="53" t="s">
        <v>565</v>
      </c>
      <c r="D324" s="95">
        <f>D325+D332+D338</f>
        <v>12785.5</v>
      </c>
      <c r="E324" s="95">
        <f>E325+E332+E338</f>
        <v>12782.800000000001</v>
      </c>
      <c r="F324" s="62">
        <f t="shared" si="90"/>
        <v>100</v>
      </c>
    </row>
    <row r="325" spans="1:7" ht="25.5" customHeight="1" x14ac:dyDescent="0.25">
      <c r="A325" s="52" t="s">
        <v>34</v>
      </c>
      <c r="B325" s="16"/>
      <c r="C325" s="48" t="s">
        <v>538</v>
      </c>
      <c r="D325" s="92">
        <f>D326+D329</f>
        <v>499.7</v>
      </c>
      <c r="E325" s="92">
        <f>E326+E329</f>
        <v>499.7</v>
      </c>
      <c r="F325" s="58">
        <f t="shared" si="90"/>
        <v>100</v>
      </c>
      <c r="G325" s="102"/>
    </row>
    <row r="326" spans="1:7" ht="39.6" x14ac:dyDescent="0.25">
      <c r="A326" s="21" t="s">
        <v>229</v>
      </c>
      <c r="B326" s="16"/>
      <c r="C326" s="98" t="s">
        <v>228</v>
      </c>
      <c r="D326" s="92">
        <f t="shared" ref="D326:E327" si="93">D327</f>
        <v>485.7</v>
      </c>
      <c r="E326" s="92">
        <f t="shared" si="93"/>
        <v>485.7</v>
      </c>
      <c r="F326" s="93">
        <f t="shared" si="90"/>
        <v>100</v>
      </c>
    </row>
    <row r="327" spans="1:7" ht="26.4" x14ac:dyDescent="0.3">
      <c r="A327" s="21" t="s">
        <v>484</v>
      </c>
      <c r="B327" s="3"/>
      <c r="C327" s="97" t="s">
        <v>183</v>
      </c>
      <c r="D327" s="41">
        <f t="shared" si="93"/>
        <v>485.7</v>
      </c>
      <c r="E327" s="41">
        <f t="shared" si="93"/>
        <v>485.7</v>
      </c>
      <c r="F327" s="93">
        <f t="shared" si="90"/>
        <v>100</v>
      </c>
    </row>
    <row r="328" spans="1:7" ht="39.6" x14ac:dyDescent="0.25">
      <c r="A328" s="21" t="s">
        <v>484</v>
      </c>
      <c r="B328" s="82" t="s">
        <v>205</v>
      </c>
      <c r="C328" s="97" t="s">
        <v>206</v>
      </c>
      <c r="D328" s="41">
        <v>485.7</v>
      </c>
      <c r="E328" s="39">
        <v>485.7</v>
      </c>
      <c r="F328" s="93">
        <f t="shared" si="90"/>
        <v>100</v>
      </c>
      <c r="G328" s="102"/>
    </row>
    <row r="329" spans="1:7" ht="39.6" x14ac:dyDescent="0.25">
      <c r="A329" s="21" t="s">
        <v>486</v>
      </c>
      <c r="B329" s="82"/>
      <c r="C329" s="98" t="s">
        <v>331</v>
      </c>
      <c r="D329" s="41">
        <f t="shared" ref="D329:E329" si="94">D330</f>
        <v>14</v>
      </c>
      <c r="E329" s="41">
        <f t="shared" si="94"/>
        <v>14</v>
      </c>
      <c r="F329" s="93">
        <f t="shared" si="90"/>
        <v>100</v>
      </c>
      <c r="G329" s="102"/>
    </row>
    <row r="330" spans="1:7" ht="26.4" x14ac:dyDescent="0.25">
      <c r="A330" s="21" t="s">
        <v>485</v>
      </c>
      <c r="B330" s="16"/>
      <c r="C330" s="97" t="s">
        <v>330</v>
      </c>
      <c r="D330" s="41">
        <f>D331</f>
        <v>14</v>
      </c>
      <c r="E330" s="41">
        <f t="shared" ref="E330" si="95">E331</f>
        <v>14</v>
      </c>
      <c r="F330" s="93">
        <f t="shared" si="90"/>
        <v>100</v>
      </c>
      <c r="G330" s="102"/>
    </row>
    <row r="331" spans="1:7" ht="39.6" x14ac:dyDescent="0.25">
      <c r="A331" s="21" t="s">
        <v>485</v>
      </c>
      <c r="B331" s="82" t="s">
        <v>205</v>
      </c>
      <c r="C331" s="97" t="s">
        <v>206</v>
      </c>
      <c r="D331" s="41">
        <f>8.3+1.7+4</f>
        <v>14</v>
      </c>
      <c r="E331" s="41">
        <v>14</v>
      </c>
      <c r="F331" s="93">
        <f t="shared" si="90"/>
        <v>100</v>
      </c>
      <c r="G331" s="102"/>
    </row>
    <row r="332" spans="1:7" ht="26.4" x14ac:dyDescent="0.25">
      <c r="A332" s="52" t="s">
        <v>364</v>
      </c>
      <c r="B332" s="16"/>
      <c r="C332" s="46" t="s">
        <v>339</v>
      </c>
      <c r="D332" s="92">
        <f>D333</f>
        <v>1026.8999999999996</v>
      </c>
      <c r="E332" s="92">
        <f>E333</f>
        <v>1026.9000000000001</v>
      </c>
      <c r="F332" s="93">
        <f t="shared" si="90"/>
        <v>100</v>
      </c>
      <c r="G332" s="102"/>
    </row>
    <row r="333" spans="1:7" ht="39.6" x14ac:dyDescent="0.25">
      <c r="A333" s="21" t="s">
        <v>487</v>
      </c>
      <c r="B333" s="16"/>
      <c r="C333" s="98" t="s">
        <v>296</v>
      </c>
      <c r="D333" s="39">
        <f>D334+D336</f>
        <v>1026.8999999999996</v>
      </c>
      <c r="E333" s="39">
        <f t="shared" ref="E333" si="96">E334+E336</f>
        <v>1026.9000000000001</v>
      </c>
      <c r="F333" s="93">
        <f t="shared" si="90"/>
        <v>100</v>
      </c>
      <c r="G333" s="102"/>
    </row>
    <row r="334" spans="1:7" ht="36" customHeight="1" x14ac:dyDescent="0.25">
      <c r="A334" s="21" t="s">
        <v>488</v>
      </c>
      <c r="B334" s="16"/>
      <c r="C334" s="96" t="s">
        <v>184</v>
      </c>
      <c r="D334" s="41">
        <f>D335</f>
        <v>178</v>
      </c>
      <c r="E334" s="41">
        <f>E335</f>
        <v>178</v>
      </c>
      <c r="F334" s="93">
        <f t="shared" si="90"/>
        <v>100</v>
      </c>
      <c r="G334" s="102"/>
    </row>
    <row r="335" spans="1:7" ht="39.6" x14ac:dyDescent="0.25">
      <c r="A335" s="21" t="s">
        <v>488</v>
      </c>
      <c r="B335" s="82" t="s">
        <v>205</v>
      </c>
      <c r="C335" s="97" t="s">
        <v>206</v>
      </c>
      <c r="D335" s="41">
        <f>200-20.3-1.7</f>
        <v>178</v>
      </c>
      <c r="E335" s="41">
        <v>178</v>
      </c>
      <c r="F335" s="93">
        <f t="shared" si="90"/>
        <v>100</v>
      </c>
      <c r="G335" s="102"/>
    </row>
    <row r="336" spans="1:7" ht="27" customHeight="1" x14ac:dyDescent="0.25">
      <c r="A336" s="21" t="s">
        <v>490</v>
      </c>
      <c r="B336" s="82"/>
      <c r="C336" s="97" t="s">
        <v>489</v>
      </c>
      <c r="D336" s="41">
        <f>D337</f>
        <v>848.89999999999964</v>
      </c>
      <c r="E336" s="41">
        <f t="shared" ref="E336" si="97">E337</f>
        <v>848.9</v>
      </c>
      <c r="F336" s="93">
        <f t="shared" si="90"/>
        <v>100</v>
      </c>
      <c r="G336" s="102"/>
    </row>
    <row r="337" spans="1:7" ht="39.6" x14ac:dyDescent="0.25">
      <c r="A337" s="21" t="s">
        <v>490</v>
      </c>
      <c r="B337" s="82" t="s">
        <v>205</v>
      </c>
      <c r="C337" s="97" t="s">
        <v>206</v>
      </c>
      <c r="D337" s="41">
        <f>500+146.9+280-78+5000-5000</f>
        <v>848.89999999999964</v>
      </c>
      <c r="E337" s="41">
        <v>848.9</v>
      </c>
      <c r="F337" s="93">
        <f t="shared" si="90"/>
        <v>100</v>
      </c>
      <c r="G337" s="102"/>
    </row>
    <row r="338" spans="1:7" ht="39.6" x14ac:dyDescent="0.25">
      <c r="A338" s="52" t="s">
        <v>35</v>
      </c>
      <c r="B338" s="16"/>
      <c r="C338" s="46" t="s">
        <v>491</v>
      </c>
      <c r="D338" s="92">
        <f>D339+D344</f>
        <v>11258.9</v>
      </c>
      <c r="E338" s="92">
        <f t="shared" ref="E338" si="98">E339+E344</f>
        <v>11256.2</v>
      </c>
      <c r="F338" s="58">
        <f t="shared" si="90"/>
        <v>100</v>
      </c>
      <c r="G338" s="102"/>
    </row>
    <row r="339" spans="1:7" ht="49.5" customHeight="1" x14ac:dyDescent="0.25">
      <c r="A339" s="21" t="s">
        <v>230</v>
      </c>
      <c r="B339" s="16"/>
      <c r="C339" s="98" t="s">
        <v>671</v>
      </c>
      <c r="D339" s="41">
        <f>D340+D342</f>
        <v>9812.9</v>
      </c>
      <c r="E339" s="41">
        <f t="shared" ref="E339" si="99">E340+E342</f>
        <v>9810.2000000000007</v>
      </c>
      <c r="F339" s="93">
        <f t="shared" si="90"/>
        <v>100</v>
      </c>
      <c r="G339" s="102"/>
    </row>
    <row r="340" spans="1:7" ht="39.75" customHeight="1" x14ac:dyDescent="0.25">
      <c r="A340" s="21" t="s">
        <v>493</v>
      </c>
      <c r="B340" s="16"/>
      <c r="C340" s="98" t="s">
        <v>492</v>
      </c>
      <c r="D340" s="41">
        <f>D341</f>
        <v>9721.9</v>
      </c>
      <c r="E340" s="41">
        <f t="shared" ref="E340" si="100">E341</f>
        <v>9719.2000000000007</v>
      </c>
      <c r="F340" s="93">
        <f t="shared" si="90"/>
        <v>100</v>
      </c>
      <c r="G340" s="102"/>
    </row>
    <row r="341" spans="1:7" ht="42.75" customHeight="1" x14ac:dyDescent="0.25">
      <c r="A341" s="21" t="s">
        <v>493</v>
      </c>
      <c r="B341" s="82" t="s">
        <v>205</v>
      </c>
      <c r="C341" s="97" t="s">
        <v>206</v>
      </c>
      <c r="D341" s="41">
        <f>1700-700+700+3849.7+87.7+20.3+43.6+3961.7+63.5-4-0.6</f>
        <v>9721.9</v>
      </c>
      <c r="E341" s="41">
        <v>9719.2000000000007</v>
      </c>
      <c r="F341" s="93">
        <f t="shared" si="90"/>
        <v>100</v>
      </c>
      <c r="G341" s="102"/>
    </row>
    <row r="342" spans="1:7" ht="49.5" customHeight="1" x14ac:dyDescent="0.25">
      <c r="A342" s="21" t="s">
        <v>662</v>
      </c>
      <c r="B342" s="82"/>
      <c r="C342" s="97" t="s">
        <v>661</v>
      </c>
      <c r="D342" s="41">
        <f>D343</f>
        <v>91</v>
      </c>
      <c r="E342" s="41">
        <f t="shared" ref="E342" si="101">E343</f>
        <v>91</v>
      </c>
      <c r="F342" s="93">
        <f t="shared" si="90"/>
        <v>100</v>
      </c>
      <c r="G342" s="102"/>
    </row>
    <row r="343" spans="1:7" ht="42.75" customHeight="1" x14ac:dyDescent="0.25">
      <c r="A343" s="21" t="s">
        <v>662</v>
      </c>
      <c r="B343" s="82" t="s">
        <v>205</v>
      </c>
      <c r="C343" s="97" t="s">
        <v>206</v>
      </c>
      <c r="D343" s="41">
        <v>91</v>
      </c>
      <c r="E343" s="41">
        <v>91</v>
      </c>
      <c r="F343" s="93">
        <f t="shared" si="90"/>
        <v>100</v>
      </c>
      <c r="G343" s="102"/>
    </row>
    <row r="344" spans="1:7" ht="25.5" customHeight="1" x14ac:dyDescent="0.25">
      <c r="A344" s="21" t="s">
        <v>363</v>
      </c>
      <c r="B344" s="82"/>
      <c r="C344" s="98" t="s">
        <v>566</v>
      </c>
      <c r="D344" s="41">
        <f>D345</f>
        <v>1446</v>
      </c>
      <c r="E344" s="41">
        <f t="shared" ref="E344:E345" si="102">E345</f>
        <v>1446</v>
      </c>
      <c r="F344" s="93">
        <f t="shared" si="90"/>
        <v>100</v>
      </c>
      <c r="G344" s="102"/>
    </row>
    <row r="345" spans="1:7" ht="26.25" customHeight="1" x14ac:dyDescent="0.25">
      <c r="A345" s="21" t="s">
        <v>494</v>
      </c>
      <c r="B345" s="16"/>
      <c r="C345" s="98" t="s">
        <v>365</v>
      </c>
      <c r="D345" s="41">
        <f>D346</f>
        <v>1446</v>
      </c>
      <c r="E345" s="41">
        <f t="shared" si="102"/>
        <v>1446</v>
      </c>
      <c r="F345" s="93">
        <f t="shared" si="90"/>
        <v>100</v>
      </c>
      <c r="G345" s="102"/>
    </row>
    <row r="346" spans="1:7" ht="12.75" customHeight="1" x14ac:dyDescent="0.25">
      <c r="A346" s="21" t="s">
        <v>494</v>
      </c>
      <c r="B346" s="82" t="s">
        <v>244</v>
      </c>
      <c r="C346" s="98" t="s">
        <v>266</v>
      </c>
      <c r="D346" s="41">
        <f>1515.6-69.6</f>
        <v>1446</v>
      </c>
      <c r="E346" s="41">
        <v>1446</v>
      </c>
      <c r="F346" s="93">
        <f t="shared" si="90"/>
        <v>100</v>
      </c>
      <c r="G346" s="102"/>
    </row>
    <row r="347" spans="1:7" ht="77.25" customHeight="1" x14ac:dyDescent="0.25">
      <c r="A347" s="73" t="s">
        <v>141</v>
      </c>
      <c r="B347" s="16"/>
      <c r="C347" s="63" t="s">
        <v>567</v>
      </c>
      <c r="D347" s="95">
        <f>D349</f>
        <v>1356.4</v>
      </c>
      <c r="E347" s="95">
        <f>E349</f>
        <v>1356.4</v>
      </c>
      <c r="F347" s="62">
        <f t="shared" si="90"/>
        <v>100</v>
      </c>
    </row>
    <row r="348" spans="1:7" ht="52.8" x14ac:dyDescent="0.25">
      <c r="A348" s="21" t="s">
        <v>142</v>
      </c>
      <c r="B348" s="16"/>
      <c r="C348" s="48" t="s">
        <v>495</v>
      </c>
      <c r="D348" s="92">
        <f>D349</f>
        <v>1356.4</v>
      </c>
      <c r="E348" s="92">
        <f>E349</f>
        <v>1356.4</v>
      </c>
      <c r="F348" s="58">
        <f t="shared" si="90"/>
        <v>100</v>
      </c>
    </row>
    <row r="349" spans="1:7" ht="76.5" customHeight="1" x14ac:dyDescent="0.25">
      <c r="A349" s="21" t="s">
        <v>204</v>
      </c>
      <c r="B349" s="16"/>
      <c r="C349" s="98" t="s">
        <v>496</v>
      </c>
      <c r="D349" s="39">
        <f>D350+D352+D354</f>
        <v>1356.4</v>
      </c>
      <c r="E349" s="39">
        <f>E350+E352+E354</f>
        <v>1356.4</v>
      </c>
      <c r="F349" s="93">
        <f t="shared" si="90"/>
        <v>100</v>
      </c>
    </row>
    <row r="350" spans="1:7" ht="76.5" customHeight="1" x14ac:dyDescent="0.25">
      <c r="A350" s="74">
        <v>810123102</v>
      </c>
      <c r="B350" s="16"/>
      <c r="C350" s="98" t="s">
        <v>497</v>
      </c>
      <c r="D350" s="39">
        <f>D351</f>
        <v>591</v>
      </c>
      <c r="E350" s="39">
        <f>E351</f>
        <v>591</v>
      </c>
      <c r="F350" s="93">
        <f t="shared" si="90"/>
        <v>100</v>
      </c>
    </row>
    <row r="351" spans="1:7" ht="39.6" x14ac:dyDescent="0.25">
      <c r="A351" s="74">
        <v>810123102</v>
      </c>
      <c r="B351" s="82" t="s">
        <v>205</v>
      </c>
      <c r="C351" s="97" t="s">
        <v>206</v>
      </c>
      <c r="D351" s="39">
        <v>591</v>
      </c>
      <c r="E351" s="39">
        <v>591</v>
      </c>
      <c r="F351" s="93">
        <f t="shared" si="90"/>
        <v>100</v>
      </c>
    </row>
    <row r="352" spans="1:7" ht="65.25" customHeight="1" x14ac:dyDescent="0.25">
      <c r="A352" s="74">
        <v>810123103</v>
      </c>
      <c r="B352" s="82"/>
      <c r="C352" s="97" t="s">
        <v>498</v>
      </c>
      <c r="D352" s="39">
        <f t="shared" ref="D352:E352" si="103">D353</f>
        <v>435</v>
      </c>
      <c r="E352" s="39">
        <f t="shared" si="103"/>
        <v>435</v>
      </c>
      <c r="F352" s="93">
        <f t="shared" si="90"/>
        <v>100</v>
      </c>
    </row>
    <row r="353" spans="1:7" ht="39.6" x14ac:dyDescent="0.25">
      <c r="A353" s="74">
        <v>810123103</v>
      </c>
      <c r="B353" s="82" t="s">
        <v>205</v>
      </c>
      <c r="C353" s="97" t="s">
        <v>206</v>
      </c>
      <c r="D353" s="39">
        <v>435</v>
      </c>
      <c r="E353" s="39">
        <v>435</v>
      </c>
      <c r="F353" s="93">
        <f t="shared" si="90"/>
        <v>100</v>
      </c>
    </row>
    <row r="354" spans="1:7" ht="81.75" customHeight="1" x14ac:dyDescent="0.25">
      <c r="A354" s="74">
        <v>810123104</v>
      </c>
      <c r="B354" s="82"/>
      <c r="C354" s="97" t="s">
        <v>499</v>
      </c>
      <c r="D354" s="39">
        <f>D355</f>
        <v>330.4</v>
      </c>
      <c r="E354" s="39">
        <f t="shared" ref="E354" si="104">E355</f>
        <v>330.4</v>
      </c>
      <c r="F354" s="93">
        <f t="shared" si="90"/>
        <v>100</v>
      </c>
    </row>
    <row r="355" spans="1:7" ht="39.6" x14ac:dyDescent="0.25">
      <c r="A355" s="74">
        <v>810123104</v>
      </c>
      <c r="B355" s="82" t="s">
        <v>205</v>
      </c>
      <c r="C355" s="97" t="s">
        <v>206</v>
      </c>
      <c r="D355" s="39">
        <f>295.4+35</f>
        <v>330.4</v>
      </c>
      <c r="E355" s="39">
        <f>295.4+35</f>
        <v>330.4</v>
      </c>
      <c r="F355" s="93">
        <f t="shared" si="90"/>
        <v>100</v>
      </c>
    </row>
    <row r="356" spans="1:7" ht="76.5" customHeight="1" x14ac:dyDescent="0.3">
      <c r="A356" s="73" t="s">
        <v>68</v>
      </c>
      <c r="B356" s="30"/>
      <c r="C356" s="139" t="s">
        <v>568</v>
      </c>
      <c r="D356" s="95">
        <f>D357+D379</f>
        <v>179970.40000000002</v>
      </c>
      <c r="E356" s="95">
        <f>E357+E379</f>
        <v>136603.79999999999</v>
      </c>
      <c r="F356" s="62">
        <f t="shared" si="90"/>
        <v>75.900000000000006</v>
      </c>
      <c r="G356" s="102"/>
    </row>
    <row r="357" spans="1:7" ht="54" customHeight="1" x14ac:dyDescent="0.3">
      <c r="A357" s="52" t="s">
        <v>69</v>
      </c>
      <c r="B357" s="30"/>
      <c r="C357" s="46" t="s">
        <v>160</v>
      </c>
      <c r="D357" s="92">
        <f>D358</f>
        <v>152644.00000000003</v>
      </c>
      <c r="E357" s="92">
        <f>E358</f>
        <v>109448.8</v>
      </c>
      <c r="F357" s="58">
        <f t="shared" si="90"/>
        <v>71.7</v>
      </c>
      <c r="G357" s="102"/>
    </row>
    <row r="358" spans="1:7" ht="40.200000000000003" x14ac:dyDescent="0.3">
      <c r="A358" s="21" t="s">
        <v>289</v>
      </c>
      <c r="B358" s="30"/>
      <c r="C358" s="96" t="s">
        <v>301</v>
      </c>
      <c r="D358" s="92">
        <f>D359+D361+D363+D365+D367+D369+D371+D373+D375+D377</f>
        <v>152644.00000000003</v>
      </c>
      <c r="E358" s="92">
        <f>E359+E361+E363+E365+E367+E369+E371+E373+E375+E377</f>
        <v>109448.8</v>
      </c>
      <c r="F358" s="93">
        <f t="shared" si="90"/>
        <v>71.7</v>
      </c>
      <c r="G358" s="102"/>
    </row>
    <row r="359" spans="1:7" ht="79.8" x14ac:dyDescent="0.3">
      <c r="A359" s="74">
        <v>910123405</v>
      </c>
      <c r="B359" s="30"/>
      <c r="C359" s="96" t="s">
        <v>288</v>
      </c>
      <c r="D359" s="39">
        <f>D360</f>
        <v>15376.7</v>
      </c>
      <c r="E359" s="39">
        <f>E360</f>
        <v>14169.2</v>
      </c>
      <c r="F359" s="93">
        <f t="shared" si="90"/>
        <v>92.1</v>
      </c>
      <c r="G359" s="102"/>
    </row>
    <row r="360" spans="1:7" ht="39.6" x14ac:dyDescent="0.25">
      <c r="A360" s="74">
        <v>910123405</v>
      </c>
      <c r="B360" s="82" t="s">
        <v>205</v>
      </c>
      <c r="C360" s="97" t="s">
        <v>206</v>
      </c>
      <c r="D360" s="39">
        <v>15376.7</v>
      </c>
      <c r="E360" s="207">
        <v>14169.2</v>
      </c>
      <c r="F360" s="93">
        <f t="shared" si="90"/>
        <v>92.1</v>
      </c>
    </row>
    <row r="361" spans="1:7" ht="66.599999999999994" x14ac:dyDescent="0.3">
      <c r="A361" s="74">
        <v>910110520</v>
      </c>
      <c r="B361" s="30"/>
      <c r="C361" s="96" t="s">
        <v>179</v>
      </c>
      <c r="D361" s="39">
        <f>D362</f>
        <v>20020.599999999999</v>
      </c>
      <c r="E361" s="39">
        <f>E362</f>
        <v>17834.2</v>
      </c>
      <c r="F361" s="93">
        <f t="shared" si="90"/>
        <v>89.1</v>
      </c>
      <c r="G361" s="102"/>
    </row>
    <row r="362" spans="1:7" ht="39.6" x14ac:dyDescent="0.25">
      <c r="A362" s="74">
        <v>910110520</v>
      </c>
      <c r="B362" s="82" t="s">
        <v>205</v>
      </c>
      <c r="C362" s="97" t="s">
        <v>206</v>
      </c>
      <c r="D362" s="1">
        <v>20020.599999999999</v>
      </c>
      <c r="E362" s="39">
        <v>17834.2</v>
      </c>
      <c r="F362" s="93">
        <f t="shared" si="90"/>
        <v>89.1</v>
      </c>
      <c r="G362" s="102"/>
    </row>
    <row r="363" spans="1:7" ht="26.4" x14ac:dyDescent="0.25">
      <c r="A363" s="74">
        <v>910123410</v>
      </c>
      <c r="B363" s="16"/>
      <c r="C363" s="97" t="s">
        <v>180</v>
      </c>
      <c r="D363" s="39">
        <f>D364</f>
        <v>19002.400000000001</v>
      </c>
      <c r="E363" s="39">
        <f>E364</f>
        <v>17311.8</v>
      </c>
      <c r="F363" s="93">
        <f t="shared" si="90"/>
        <v>91.1</v>
      </c>
      <c r="G363" s="102"/>
    </row>
    <row r="364" spans="1:7" ht="39.6" x14ac:dyDescent="0.25">
      <c r="A364" s="74">
        <v>910123410</v>
      </c>
      <c r="B364" s="82" t="s">
        <v>205</v>
      </c>
      <c r="C364" s="97" t="s">
        <v>206</v>
      </c>
      <c r="D364" s="39">
        <f>16457+1413.5+1131.9</f>
        <v>19002.400000000001</v>
      </c>
      <c r="E364" s="207">
        <v>17311.8</v>
      </c>
      <c r="F364" s="93">
        <f t="shared" si="90"/>
        <v>91.1</v>
      </c>
    </row>
    <row r="365" spans="1:7" ht="92.4" x14ac:dyDescent="0.25">
      <c r="A365" s="74">
        <v>910123415</v>
      </c>
      <c r="B365" s="82"/>
      <c r="C365" s="128" t="s">
        <v>660</v>
      </c>
      <c r="D365" s="39">
        <f>D366</f>
        <v>2263.4</v>
      </c>
      <c r="E365" s="39">
        <f t="shared" ref="E365" si="105">E366</f>
        <v>944.9</v>
      </c>
      <c r="F365" s="93">
        <f t="shared" si="90"/>
        <v>41.7</v>
      </c>
    </row>
    <row r="366" spans="1:7" ht="39.6" x14ac:dyDescent="0.25">
      <c r="A366" s="74">
        <v>910123415</v>
      </c>
      <c r="B366" s="82" t="s">
        <v>205</v>
      </c>
      <c r="C366" s="97" t="s">
        <v>206</v>
      </c>
      <c r="D366" s="39">
        <f>100+380+5000-3566.6+350</f>
        <v>2263.4</v>
      </c>
      <c r="E366" s="207">
        <v>944.9</v>
      </c>
      <c r="F366" s="93">
        <f t="shared" si="90"/>
        <v>41.7</v>
      </c>
    </row>
    <row r="367" spans="1:7" ht="52.8" x14ac:dyDescent="0.25">
      <c r="A367" s="74" t="s">
        <v>344</v>
      </c>
      <c r="B367" s="82"/>
      <c r="C367" s="121" t="s">
        <v>343</v>
      </c>
      <c r="D367" s="39">
        <f>D368</f>
        <v>1144.1000000000004</v>
      </c>
      <c r="E367" s="39">
        <f>E368</f>
        <v>551</v>
      </c>
      <c r="F367" s="93">
        <f t="shared" si="90"/>
        <v>48.2</v>
      </c>
    </row>
    <row r="368" spans="1:7" ht="39.6" x14ac:dyDescent="0.25">
      <c r="A368" s="74" t="s">
        <v>344</v>
      </c>
      <c r="B368" s="82" t="s">
        <v>205</v>
      </c>
      <c r="C368" s="97" t="s">
        <v>206</v>
      </c>
      <c r="D368" s="39">
        <f>2317.6-1000+3130.1-10.9-3292.7</f>
        <v>1144.1000000000004</v>
      </c>
      <c r="E368" s="39">
        <v>551</v>
      </c>
      <c r="F368" s="93">
        <f t="shared" si="90"/>
        <v>48.2</v>
      </c>
    </row>
    <row r="369" spans="1:7" ht="66" x14ac:dyDescent="0.25">
      <c r="A369" s="135" t="s">
        <v>500</v>
      </c>
      <c r="B369" s="82"/>
      <c r="C369" s="121" t="s">
        <v>345</v>
      </c>
      <c r="D369" s="39">
        <f>D370</f>
        <v>7695.6</v>
      </c>
      <c r="E369" s="39">
        <f>E370</f>
        <v>3159.3</v>
      </c>
      <c r="F369" s="93">
        <f t="shared" si="90"/>
        <v>41.1</v>
      </c>
    </row>
    <row r="370" spans="1:7" ht="39.6" x14ac:dyDescent="0.25">
      <c r="A370" s="135" t="s">
        <v>500</v>
      </c>
      <c r="B370" s="82" t="s">
        <v>205</v>
      </c>
      <c r="C370" s="97" t="s">
        <v>206</v>
      </c>
      <c r="D370" s="1">
        <f>9270.5-1574.9</f>
        <v>7695.6</v>
      </c>
      <c r="E370" s="39">
        <v>3159.3</v>
      </c>
      <c r="F370" s="93">
        <f t="shared" si="90"/>
        <v>41.1</v>
      </c>
    </row>
    <row r="371" spans="1:7" ht="26.4" x14ac:dyDescent="0.25">
      <c r="A371" s="74" t="s">
        <v>340</v>
      </c>
      <c r="B371" s="82"/>
      <c r="C371" s="97" t="s">
        <v>341</v>
      </c>
      <c r="D371" s="39">
        <f>D372</f>
        <v>10850.8</v>
      </c>
      <c r="E371" s="39">
        <f>E372</f>
        <v>4719.5</v>
      </c>
      <c r="F371" s="93">
        <f t="shared" si="90"/>
        <v>43.5</v>
      </c>
    </row>
    <row r="372" spans="1:7" ht="39.6" x14ac:dyDescent="0.25">
      <c r="A372" s="74" t="s">
        <v>340</v>
      </c>
      <c r="B372" s="82" t="s">
        <v>205</v>
      </c>
      <c r="C372" s="97" t="s">
        <v>206</v>
      </c>
      <c r="D372" s="39">
        <f>14380.3+396.5-800-5193.4-1842.6+3931.5-21.5</f>
        <v>10850.8</v>
      </c>
      <c r="E372" s="39">
        <v>4719.5</v>
      </c>
      <c r="F372" s="93">
        <f t="shared" si="90"/>
        <v>43.5</v>
      </c>
    </row>
    <row r="373" spans="1:7" ht="26.4" x14ac:dyDescent="0.25">
      <c r="A373" s="137" t="s">
        <v>501</v>
      </c>
      <c r="B373" s="82"/>
      <c r="C373" s="97" t="s">
        <v>342</v>
      </c>
      <c r="D373" s="39">
        <f>D374</f>
        <v>57521.3</v>
      </c>
      <c r="E373" s="39">
        <f>E374</f>
        <v>37525.699999999997</v>
      </c>
      <c r="F373" s="93">
        <f t="shared" si="90"/>
        <v>65.2</v>
      </c>
    </row>
    <row r="374" spans="1:7" ht="39.6" x14ac:dyDescent="0.25">
      <c r="A374" s="137" t="s">
        <v>501</v>
      </c>
      <c r="B374" s="82" t="s">
        <v>205</v>
      </c>
      <c r="C374" s="97" t="s">
        <v>206</v>
      </c>
      <c r="D374" s="39">
        <v>57521.3</v>
      </c>
      <c r="E374" s="207">
        <v>37525.699999999997</v>
      </c>
      <c r="F374" s="93">
        <f t="shared" si="90"/>
        <v>65.2</v>
      </c>
    </row>
    <row r="375" spans="1:7" ht="26.4" x14ac:dyDescent="0.25">
      <c r="A375" s="74">
        <v>910123425</v>
      </c>
      <c r="B375" s="82"/>
      <c r="C375" s="97" t="s">
        <v>369</v>
      </c>
      <c r="D375" s="39">
        <f>D376</f>
        <v>17615.100000000002</v>
      </c>
      <c r="E375" s="39">
        <f>E376</f>
        <v>12116.2</v>
      </c>
      <c r="F375" s="93">
        <f t="shared" si="90"/>
        <v>68.8</v>
      </c>
    </row>
    <row r="376" spans="1:7" ht="39.6" x14ac:dyDescent="0.25">
      <c r="A376" s="74">
        <v>910123425</v>
      </c>
      <c r="B376" s="82" t="s">
        <v>205</v>
      </c>
      <c r="C376" s="97" t="s">
        <v>206</v>
      </c>
      <c r="D376" s="39">
        <f>1590+1493.2+1306.4+2176+2289.3+8760.2</f>
        <v>17615.100000000002</v>
      </c>
      <c r="E376" s="207">
        <v>12116.2</v>
      </c>
      <c r="F376" s="93">
        <f t="shared" si="90"/>
        <v>68.8</v>
      </c>
    </row>
    <row r="377" spans="1:7" x14ac:dyDescent="0.25">
      <c r="A377" s="74">
        <v>910123430</v>
      </c>
      <c r="B377" s="82"/>
      <c r="C377" s="97" t="s">
        <v>600</v>
      </c>
      <c r="D377" s="39">
        <f>D378</f>
        <v>1154</v>
      </c>
      <c r="E377" s="39">
        <f t="shared" ref="E377" si="106">E378</f>
        <v>1117</v>
      </c>
      <c r="F377" s="93">
        <f t="shared" si="90"/>
        <v>96.8</v>
      </c>
    </row>
    <row r="378" spans="1:7" ht="39.6" x14ac:dyDescent="0.25">
      <c r="A378" s="74">
        <v>910123430</v>
      </c>
      <c r="B378" s="82" t="s">
        <v>205</v>
      </c>
      <c r="C378" s="97" t="s">
        <v>206</v>
      </c>
      <c r="D378" s="39">
        <f>817+337</f>
        <v>1154</v>
      </c>
      <c r="E378" s="208">
        <v>1117</v>
      </c>
      <c r="F378" s="93">
        <f t="shared" si="90"/>
        <v>96.8</v>
      </c>
    </row>
    <row r="379" spans="1:7" ht="66.599999999999994" x14ac:dyDescent="0.3">
      <c r="A379" s="52" t="s">
        <v>208</v>
      </c>
      <c r="B379" s="30"/>
      <c r="C379" s="46" t="s">
        <v>181</v>
      </c>
      <c r="D379" s="92">
        <f>D380</f>
        <v>27326.400000000001</v>
      </c>
      <c r="E379" s="92">
        <f t="shared" ref="E379" si="107">E380</f>
        <v>27155</v>
      </c>
      <c r="F379" s="58">
        <f t="shared" si="90"/>
        <v>99.4</v>
      </c>
    </row>
    <row r="380" spans="1:7" ht="27" x14ac:dyDescent="0.3">
      <c r="A380" s="74">
        <v>920100000</v>
      </c>
      <c r="B380" s="30"/>
      <c r="C380" s="96" t="s">
        <v>290</v>
      </c>
      <c r="D380" s="39">
        <f>D381+D383+D385</f>
        <v>27326.400000000001</v>
      </c>
      <c r="E380" s="39">
        <f>E381+E383+E385</f>
        <v>27155</v>
      </c>
      <c r="F380" s="93">
        <f t="shared" si="90"/>
        <v>99.4</v>
      </c>
    </row>
    <row r="381" spans="1:7" ht="66.599999999999994" x14ac:dyDescent="0.3">
      <c r="A381" s="74" t="s">
        <v>299</v>
      </c>
      <c r="B381" s="30"/>
      <c r="C381" s="96" t="s">
        <v>209</v>
      </c>
      <c r="D381" s="39">
        <f>D382</f>
        <v>5028.8</v>
      </c>
      <c r="E381" s="39">
        <f>E382</f>
        <v>4994.5</v>
      </c>
      <c r="F381" s="93">
        <f t="shared" ref="F381:F444" si="108">ROUND((E381/D381*100),1)</f>
        <v>99.3</v>
      </c>
      <c r="G381" s="102"/>
    </row>
    <row r="382" spans="1:7" ht="39.6" x14ac:dyDescent="0.25">
      <c r="A382" s="74" t="s">
        <v>299</v>
      </c>
      <c r="B382" s="82" t="s">
        <v>205</v>
      </c>
      <c r="C382" s="97" t="s">
        <v>206</v>
      </c>
      <c r="D382" s="39">
        <v>5028.8</v>
      </c>
      <c r="E382" s="39">
        <v>4994.5</v>
      </c>
      <c r="F382" s="93">
        <f t="shared" si="108"/>
        <v>99.3</v>
      </c>
    </row>
    <row r="383" spans="1:7" ht="52.8" x14ac:dyDescent="0.25">
      <c r="A383" s="74">
        <v>920110300</v>
      </c>
      <c r="B383" s="16"/>
      <c r="C383" s="96" t="s">
        <v>687</v>
      </c>
      <c r="D383" s="39">
        <f>D384</f>
        <v>20115.2</v>
      </c>
      <c r="E383" s="39">
        <f>E384</f>
        <v>19978.2</v>
      </c>
      <c r="F383" s="93">
        <f t="shared" si="108"/>
        <v>99.3</v>
      </c>
    </row>
    <row r="384" spans="1:7" ht="39.6" x14ac:dyDescent="0.25">
      <c r="A384" s="74">
        <v>920110300</v>
      </c>
      <c r="B384" s="82" t="s">
        <v>205</v>
      </c>
      <c r="C384" s="97" t="s">
        <v>206</v>
      </c>
      <c r="D384" s="39">
        <v>20115.2</v>
      </c>
      <c r="E384" s="39">
        <v>19978.2</v>
      </c>
      <c r="F384" s="93">
        <f t="shared" si="108"/>
        <v>99.3</v>
      </c>
    </row>
    <row r="385" spans="1:6" ht="66" x14ac:dyDescent="0.25">
      <c r="A385" s="74">
        <v>920123495</v>
      </c>
      <c r="B385" s="82"/>
      <c r="C385" s="54" t="s">
        <v>551</v>
      </c>
      <c r="D385" s="39">
        <f>D386</f>
        <v>2182.4</v>
      </c>
      <c r="E385" s="39">
        <f>E386</f>
        <v>2182.3000000000002</v>
      </c>
      <c r="F385" s="93">
        <f t="shared" si="108"/>
        <v>100</v>
      </c>
    </row>
    <row r="386" spans="1:6" ht="39.6" x14ac:dyDescent="0.25">
      <c r="A386" s="74">
        <v>920123495</v>
      </c>
      <c r="B386" s="82" t="s">
        <v>205</v>
      </c>
      <c r="C386" s="97" t="s">
        <v>206</v>
      </c>
      <c r="D386" s="39">
        <f>2116.9+65.5</f>
        <v>2182.4</v>
      </c>
      <c r="E386" s="39">
        <v>2182.3000000000002</v>
      </c>
      <c r="F386" s="93">
        <f t="shared" si="108"/>
        <v>100</v>
      </c>
    </row>
    <row r="387" spans="1:6" ht="77.25" customHeight="1" x14ac:dyDescent="0.25">
      <c r="A387" s="73" t="s">
        <v>72</v>
      </c>
      <c r="B387" s="16"/>
      <c r="C387" s="53" t="s">
        <v>569</v>
      </c>
      <c r="D387" s="95">
        <f>D388+D392</f>
        <v>244</v>
      </c>
      <c r="E387" s="95">
        <f t="shared" ref="E387" si="109">E388+E392</f>
        <v>244</v>
      </c>
      <c r="F387" s="62">
        <f t="shared" si="108"/>
        <v>100</v>
      </c>
    </row>
    <row r="388" spans="1:6" ht="52.8" x14ac:dyDescent="0.25">
      <c r="A388" s="52" t="s">
        <v>73</v>
      </c>
      <c r="B388" s="16"/>
      <c r="C388" s="60" t="s">
        <v>182</v>
      </c>
      <c r="D388" s="58">
        <f t="shared" ref="D388:E389" si="110">D389</f>
        <v>34</v>
      </c>
      <c r="E388" s="58">
        <f t="shared" si="110"/>
        <v>34</v>
      </c>
      <c r="F388" s="58">
        <f t="shared" si="108"/>
        <v>100</v>
      </c>
    </row>
    <row r="389" spans="1:6" ht="39.6" x14ac:dyDescent="0.25">
      <c r="A389" s="21" t="s">
        <v>220</v>
      </c>
      <c r="B389" s="82"/>
      <c r="C389" s="97" t="s">
        <v>335</v>
      </c>
      <c r="D389" s="41">
        <f>D390</f>
        <v>34</v>
      </c>
      <c r="E389" s="41">
        <f t="shared" si="110"/>
        <v>34</v>
      </c>
      <c r="F389" s="93">
        <f t="shared" si="108"/>
        <v>100</v>
      </c>
    </row>
    <row r="390" spans="1:6" ht="66" x14ac:dyDescent="0.25">
      <c r="A390" s="21" t="s">
        <v>503</v>
      </c>
      <c r="B390" s="16"/>
      <c r="C390" s="97" t="s">
        <v>336</v>
      </c>
      <c r="D390" s="41">
        <f>D391</f>
        <v>34</v>
      </c>
      <c r="E390" s="41">
        <f>E391</f>
        <v>34</v>
      </c>
      <c r="F390" s="93">
        <f t="shared" si="108"/>
        <v>100</v>
      </c>
    </row>
    <row r="391" spans="1:6" ht="26.4" x14ac:dyDescent="0.25">
      <c r="A391" s="21" t="s">
        <v>503</v>
      </c>
      <c r="B391" s="82" t="s">
        <v>65</v>
      </c>
      <c r="C391" s="55" t="s">
        <v>128</v>
      </c>
      <c r="D391" s="41">
        <v>34</v>
      </c>
      <c r="E391" s="41">
        <v>34</v>
      </c>
      <c r="F391" s="93">
        <f t="shared" si="108"/>
        <v>100</v>
      </c>
    </row>
    <row r="392" spans="1:6" ht="66" x14ac:dyDescent="0.25">
      <c r="A392" s="52" t="s">
        <v>504</v>
      </c>
      <c r="B392" s="16"/>
      <c r="C392" s="48" t="s">
        <v>174</v>
      </c>
      <c r="D392" s="92">
        <f>D393+D398</f>
        <v>210</v>
      </c>
      <c r="E392" s="92">
        <f t="shared" ref="E392" si="111">E393+E398</f>
        <v>210</v>
      </c>
      <c r="F392" s="58">
        <f t="shared" si="108"/>
        <v>100</v>
      </c>
    </row>
    <row r="393" spans="1:6" ht="52.8" x14ac:dyDescent="0.25">
      <c r="A393" s="21" t="s">
        <v>505</v>
      </c>
      <c r="B393" s="16"/>
      <c r="C393" s="98" t="s">
        <v>308</v>
      </c>
      <c r="D393" s="39">
        <f>D394+D396</f>
        <v>170</v>
      </c>
      <c r="E393" s="39">
        <f>E394+E396</f>
        <v>170</v>
      </c>
      <c r="F393" s="93">
        <f t="shared" si="108"/>
        <v>100</v>
      </c>
    </row>
    <row r="394" spans="1:6" ht="77.25" customHeight="1" x14ac:dyDescent="0.25">
      <c r="A394" s="74">
        <v>1020123085</v>
      </c>
      <c r="B394" s="16"/>
      <c r="C394" s="97" t="s">
        <v>175</v>
      </c>
      <c r="D394" s="41">
        <f>D395</f>
        <v>5</v>
      </c>
      <c r="E394" s="41">
        <f>E395</f>
        <v>5</v>
      </c>
      <c r="F394" s="93">
        <f t="shared" si="108"/>
        <v>100</v>
      </c>
    </row>
    <row r="395" spans="1:6" ht="39.6" x14ac:dyDescent="0.25">
      <c r="A395" s="74">
        <v>1020123085</v>
      </c>
      <c r="B395" s="82" t="s">
        <v>205</v>
      </c>
      <c r="C395" s="97" t="s">
        <v>206</v>
      </c>
      <c r="D395" s="41">
        <v>5</v>
      </c>
      <c r="E395" s="41">
        <v>5</v>
      </c>
      <c r="F395" s="93">
        <f t="shared" si="108"/>
        <v>100</v>
      </c>
    </row>
    <row r="396" spans="1:6" x14ac:dyDescent="0.25">
      <c r="A396" s="74">
        <v>1020123086</v>
      </c>
      <c r="B396" s="16"/>
      <c r="C396" s="97" t="s">
        <v>176</v>
      </c>
      <c r="D396" s="41">
        <f>D397</f>
        <v>165</v>
      </c>
      <c r="E396" s="41">
        <f>E397</f>
        <v>165</v>
      </c>
      <c r="F396" s="93">
        <f t="shared" si="108"/>
        <v>100</v>
      </c>
    </row>
    <row r="397" spans="1:6" ht="39.6" x14ac:dyDescent="0.25">
      <c r="A397" s="74">
        <v>1020123086</v>
      </c>
      <c r="B397" s="82" t="s">
        <v>205</v>
      </c>
      <c r="C397" s="97" t="s">
        <v>206</v>
      </c>
      <c r="D397" s="41">
        <f>35+130</f>
        <v>165</v>
      </c>
      <c r="E397" s="41">
        <f>35+130</f>
        <v>165</v>
      </c>
      <c r="F397" s="93">
        <f t="shared" si="108"/>
        <v>100</v>
      </c>
    </row>
    <row r="398" spans="1:6" ht="53.25" customHeight="1" x14ac:dyDescent="0.25">
      <c r="A398" s="52" t="s">
        <v>608</v>
      </c>
      <c r="B398" s="82"/>
      <c r="C398" s="97" t="s">
        <v>634</v>
      </c>
      <c r="D398" s="41">
        <f>D399</f>
        <v>40</v>
      </c>
      <c r="E398" s="41">
        <f t="shared" ref="E398" si="112">E399</f>
        <v>40</v>
      </c>
      <c r="F398" s="93">
        <f t="shared" si="108"/>
        <v>100</v>
      </c>
    </row>
    <row r="399" spans="1:6" ht="30" customHeight="1" x14ac:dyDescent="0.25">
      <c r="A399" s="74">
        <v>1030300000</v>
      </c>
      <c r="B399" s="82"/>
      <c r="C399" s="97" t="s">
        <v>612</v>
      </c>
      <c r="D399" s="41">
        <f>D400+D402</f>
        <v>40</v>
      </c>
      <c r="E399" s="41">
        <f t="shared" ref="E399" si="113">E400+E402</f>
        <v>40</v>
      </c>
      <c r="F399" s="93">
        <f t="shared" si="108"/>
        <v>100</v>
      </c>
    </row>
    <row r="400" spans="1:6" ht="39.6" x14ac:dyDescent="0.25">
      <c r="A400" s="74">
        <v>1030323090</v>
      </c>
      <c r="B400" s="82"/>
      <c r="C400" s="97" t="s">
        <v>609</v>
      </c>
      <c r="D400" s="41">
        <f>D401</f>
        <v>10</v>
      </c>
      <c r="E400" s="41">
        <f>E401</f>
        <v>10</v>
      </c>
      <c r="F400" s="93">
        <f t="shared" si="108"/>
        <v>100</v>
      </c>
    </row>
    <row r="401" spans="1:6" ht="39.6" x14ac:dyDescent="0.25">
      <c r="A401" s="74">
        <v>1030323090</v>
      </c>
      <c r="B401" s="82" t="s">
        <v>205</v>
      </c>
      <c r="C401" s="97" t="s">
        <v>206</v>
      </c>
      <c r="D401" s="41">
        <v>10</v>
      </c>
      <c r="E401" s="41">
        <v>10</v>
      </c>
      <c r="F401" s="93">
        <f t="shared" si="108"/>
        <v>100</v>
      </c>
    </row>
    <row r="402" spans="1:6" ht="39.6" x14ac:dyDescent="0.25">
      <c r="A402" s="74">
        <v>1030323092</v>
      </c>
      <c r="B402" s="82"/>
      <c r="C402" s="97" t="s">
        <v>610</v>
      </c>
      <c r="D402" s="41">
        <f>D403</f>
        <v>30</v>
      </c>
      <c r="E402" s="41">
        <f>E403</f>
        <v>30</v>
      </c>
      <c r="F402" s="93">
        <f t="shared" si="108"/>
        <v>100</v>
      </c>
    </row>
    <row r="403" spans="1:6" ht="39.6" x14ac:dyDescent="0.25">
      <c r="A403" s="74">
        <v>1030323092</v>
      </c>
      <c r="B403" s="82" t="s">
        <v>205</v>
      </c>
      <c r="C403" s="97" t="s">
        <v>206</v>
      </c>
      <c r="D403" s="41">
        <v>30</v>
      </c>
      <c r="E403" s="41">
        <v>30</v>
      </c>
      <c r="F403" s="93">
        <f t="shared" si="108"/>
        <v>100</v>
      </c>
    </row>
    <row r="404" spans="1:6" ht="90" customHeight="1" x14ac:dyDescent="0.25">
      <c r="A404" s="73" t="s">
        <v>51</v>
      </c>
      <c r="B404" s="16"/>
      <c r="C404" s="64" t="s">
        <v>570</v>
      </c>
      <c r="D404" s="59">
        <f>D405+D411+D416+D422</f>
        <v>2334.7999999999997</v>
      </c>
      <c r="E404" s="59">
        <f>E405+E411+E416+E422</f>
        <v>2107.4</v>
      </c>
      <c r="F404" s="65">
        <f t="shared" si="108"/>
        <v>90.3</v>
      </c>
    </row>
    <row r="405" spans="1:6" ht="52.8" x14ac:dyDescent="0.25">
      <c r="A405" s="52" t="s">
        <v>52</v>
      </c>
      <c r="B405" s="16"/>
      <c r="C405" s="48" t="s">
        <v>197</v>
      </c>
      <c r="D405" s="92">
        <f>D407+D409</f>
        <v>337.4</v>
      </c>
      <c r="E405" s="92">
        <f>E407+E409</f>
        <v>334.8</v>
      </c>
      <c r="F405" s="58">
        <f t="shared" si="108"/>
        <v>99.2</v>
      </c>
    </row>
    <row r="406" spans="1:6" ht="66" x14ac:dyDescent="0.25">
      <c r="A406" s="21" t="s">
        <v>212</v>
      </c>
      <c r="B406" s="16"/>
      <c r="C406" s="98" t="s">
        <v>286</v>
      </c>
      <c r="D406" s="39">
        <f>D407+D409</f>
        <v>337.4</v>
      </c>
      <c r="E406" s="39">
        <f t="shared" ref="E406" si="114">E407+E409</f>
        <v>334.8</v>
      </c>
      <c r="F406" s="93">
        <f t="shared" si="108"/>
        <v>99.2</v>
      </c>
    </row>
    <row r="407" spans="1:6" ht="26.4" x14ac:dyDescent="0.25">
      <c r="A407" s="74">
        <v>1110123305</v>
      </c>
      <c r="B407" s="16"/>
      <c r="C407" s="98" t="s">
        <v>211</v>
      </c>
      <c r="D407" s="39">
        <f>D408</f>
        <v>309.7</v>
      </c>
      <c r="E407" s="39">
        <f>E408</f>
        <v>309.7</v>
      </c>
      <c r="F407" s="93">
        <f t="shared" si="108"/>
        <v>100</v>
      </c>
    </row>
    <row r="408" spans="1:6" ht="39.6" x14ac:dyDescent="0.25">
      <c r="A408" s="74">
        <v>1110123305</v>
      </c>
      <c r="B408" s="82" t="s">
        <v>205</v>
      </c>
      <c r="C408" s="97" t="s">
        <v>206</v>
      </c>
      <c r="D408" s="39">
        <f>297.4+12.3</f>
        <v>309.7</v>
      </c>
      <c r="E408" s="39">
        <v>309.7</v>
      </c>
      <c r="F408" s="93">
        <f t="shared" si="108"/>
        <v>100</v>
      </c>
    </row>
    <row r="409" spans="1:6" ht="52.8" x14ac:dyDescent="0.25">
      <c r="A409" s="74">
        <v>1110123310</v>
      </c>
      <c r="B409" s="16"/>
      <c r="C409" s="98" t="s">
        <v>199</v>
      </c>
      <c r="D409" s="41">
        <f>D410</f>
        <v>27.7</v>
      </c>
      <c r="E409" s="41">
        <f>E410</f>
        <v>25.1</v>
      </c>
      <c r="F409" s="93">
        <f t="shared" si="108"/>
        <v>90.6</v>
      </c>
    </row>
    <row r="410" spans="1:6" ht="39.6" x14ac:dyDescent="0.25">
      <c r="A410" s="74">
        <v>1110123310</v>
      </c>
      <c r="B410" s="82" t="s">
        <v>205</v>
      </c>
      <c r="C410" s="97" t="s">
        <v>206</v>
      </c>
      <c r="D410" s="41">
        <f>40-12.3</f>
        <v>27.7</v>
      </c>
      <c r="E410" s="41">
        <v>25.1</v>
      </c>
      <c r="F410" s="93">
        <f t="shared" si="108"/>
        <v>90.6</v>
      </c>
    </row>
    <row r="411" spans="1:6" ht="39.6" x14ac:dyDescent="0.25">
      <c r="A411" s="52" t="s">
        <v>53</v>
      </c>
      <c r="B411" s="82"/>
      <c r="C411" s="48" t="s">
        <v>193</v>
      </c>
      <c r="D411" s="92">
        <f t="shared" ref="D411:E412" si="115">D412</f>
        <v>1972.3999999999999</v>
      </c>
      <c r="E411" s="92">
        <f t="shared" si="115"/>
        <v>1747.6999999999998</v>
      </c>
      <c r="F411" s="58">
        <f t="shared" si="108"/>
        <v>88.6</v>
      </c>
    </row>
    <row r="412" spans="1:6" ht="52.8" x14ac:dyDescent="0.25">
      <c r="A412" s="21" t="s">
        <v>213</v>
      </c>
      <c r="B412" s="82"/>
      <c r="C412" s="98" t="s">
        <v>297</v>
      </c>
      <c r="D412" s="41">
        <f t="shared" si="115"/>
        <v>1972.3999999999999</v>
      </c>
      <c r="E412" s="41">
        <f t="shared" si="115"/>
        <v>1747.6999999999998</v>
      </c>
      <c r="F412" s="93">
        <f t="shared" si="108"/>
        <v>88.6</v>
      </c>
    </row>
    <row r="413" spans="1:6" ht="39.6" x14ac:dyDescent="0.25">
      <c r="A413" s="74">
        <v>1120123315</v>
      </c>
      <c r="B413" s="16"/>
      <c r="C413" s="97" t="s">
        <v>506</v>
      </c>
      <c r="D413" s="41">
        <f>SUM(D414:D415)</f>
        <v>1972.3999999999999</v>
      </c>
      <c r="E413" s="41">
        <f>SUM(E414:E415)</f>
        <v>1747.6999999999998</v>
      </c>
      <c r="F413" s="93">
        <f t="shared" si="108"/>
        <v>88.6</v>
      </c>
    </row>
    <row r="414" spans="1:6" ht="26.4" x14ac:dyDescent="0.25">
      <c r="A414" s="74">
        <v>1120123315</v>
      </c>
      <c r="B414" s="82" t="s">
        <v>65</v>
      </c>
      <c r="C414" s="55" t="s">
        <v>128</v>
      </c>
      <c r="D414" s="41">
        <v>118.1</v>
      </c>
      <c r="E414" s="41">
        <v>118.1</v>
      </c>
      <c r="F414" s="93">
        <f t="shared" si="108"/>
        <v>100</v>
      </c>
    </row>
    <row r="415" spans="1:6" ht="39.6" x14ac:dyDescent="0.25">
      <c r="A415" s="74">
        <v>1120123315</v>
      </c>
      <c r="B415" s="82" t="s">
        <v>205</v>
      </c>
      <c r="C415" s="97" t="s">
        <v>206</v>
      </c>
      <c r="D415" s="41">
        <v>1854.3</v>
      </c>
      <c r="E415" s="41">
        <v>1629.6</v>
      </c>
      <c r="F415" s="93">
        <f t="shared" si="108"/>
        <v>87.9</v>
      </c>
    </row>
    <row r="416" spans="1:6" ht="39" customHeight="1" x14ac:dyDescent="0.25">
      <c r="A416" s="52" t="s">
        <v>54</v>
      </c>
      <c r="B416" s="16"/>
      <c r="C416" s="48" t="s">
        <v>246</v>
      </c>
      <c r="D416" s="92">
        <f>D417</f>
        <v>10</v>
      </c>
      <c r="E416" s="92">
        <f>E417</f>
        <v>10</v>
      </c>
      <c r="F416" s="58">
        <f t="shared" si="108"/>
        <v>100</v>
      </c>
    </row>
    <row r="417" spans="1:7" ht="66" x14ac:dyDescent="0.25">
      <c r="A417" s="21" t="s">
        <v>214</v>
      </c>
      <c r="B417" s="16"/>
      <c r="C417" s="98" t="s">
        <v>306</v>
      </c>
      <c r="D417" s="39">
        <f>D418+D420</f>
        <v>10</v>
      </c>
      <c r="E417" s="39">
        <f>E418+E420</f>
        <v>10</v>
      </c>
      <c r="F417" s="93">
        <f t="shared" si="108"/>
        <v>100</v>
      </c>
    </row>
    <row r="418" spans="1:7" ht="26.4" x14ac:dyDescent="0.25">
      <c r="A418" s="74">
        <v>1130123320</v>
      </c>
      <c r="B418" s="16"/>
      <c r="C418" s="97" t="s">
        <v>247</v>
      </c>
      <c r="D418" s="41">
        <f>D419</f>
        <v>6.8</v>
      </c>
      <c r="E418" s="41">
        <f>E419</f>
        <v>6.8</v>
      </c>
      <c r="F418" s="93">
        <f t="shared" si="108"/>
        <v>100</v>
      </c>
    </row>
    <row r="419" spans="1:7" ht="39.6" x14ac:dyDescent="0.25">
      <c r="A419" s="74">
        <v>1130123320</v>
      </c>
      <c r="B419" s="82" t="s">
        <v>205</v>
      </c>
      <c r="C419" s="97" t="s">
        <v>206</v>
      </c>
      <c r="D419" s="41">
        <f>8-1.2</f>
        <v>6.8</v>
      </c>
      <c r="E419" s="41">
        <v>6.8</v>
      </c>
      <c r="F419" s="93">
        <f t="shared" si="108"/>
        <v>100</v>
      </c>
    </row>
    <row r="420" spans="1:7" ht="24" customHeight="1" x14ac:dyDescent="0.25">
      <c r="A420" s="74">
        <v>1130123325</v>
      </c>
      <c r="B420" s="16"/>
      <c r="C420" s="97" t="s">
        <v>215</v>
      </c>
      <c r="D420" s="41">
        <f>D421</f>
        <v>3.2</v>
      </c>
      <c r="E420" s="41">
        <f>E421</f>
        <v>3.2</v>
      </c>
      <c r="F420" s="93">
        <f t="shared" si="108"/>
        <v>100</v>
      </c>
    </row>
    <row r="421" spans="1:7" ht="39.6" x14ac:dyDescent="0.25">
      <c r="A421" s="74">
        <v>1130123325</v>
      </c>
      <c r="B421" s="82" t="s">
        <v>205</v>
      </c>
      <c r="C421" s="97" t="s">
        <v>206</v>
      </c>
      <c r="D421" s="41">
        <f>2+1.2</f>
        <v>3.2</v>
      </c>
      <c r="E421" s="41">
        <v>3.2</v>
      </c>
      <c r="F421" s="93">
        <f t="shared" si="108"/>
        <v>100</v>
      </c>
    </row>
    <row r="422" spans="1:7" ht="52.8" x14ac:dyDescent="0.25">
      <c r="A422" s="52" t="s">
        <v>55</v>
      </c>
      <c r="B422" s="16"/>
      <c r="C422" s="48" t="s">
        <v>198</v>
      </c>
      <c r="D422" s="92">
        <f>D423</f>
        <v>15</v>
      </c>
      <c r="E422" s="92">
        <f t="shared" ref="E422" si="116">E423</f>
        <v>14.9</v>
      </c>
      <c r="F422" s="58">
        <f t="shared" si="108"/>
        <v>99.3</v>
      </c>
    </row>
    <row r="423" spans="1:7" ht="52.8" x14ac:dyDescent="0.25">
      <c r="A423" s="21" t="s">
        <v>285</v>
      </c>
      <c r="B423" s="82"/>
      <c r="C423" s="97" t="s">
        <v>216</v>
      </c>
      <c r="D423" s="41">
        <f>D424+D426</f>
        <v>15</v>
      </c>
      <c r="E423" s="41">
        <f t="shared" ref="E423" si="117">E424+E426</f>
        <v>14.9</v>
      </c>
      <c r="F423" s="93">
        <f t="shared" si="108"/>
        <v>99.3</v>
      </c>
    </row>
    <row r="424" spans="1:7" ht="26.4" x14ac:dyDescent="0.25">
      <c r="A424" s="74">
        <v>1140123330</v>
      </c>
      <c r="B424" s="16"/>
      <c r="C424" s="97" t="s">
        <v>187</v>
      </c>
      <c r="D424" s="41">
        <f>D425</f>
        <v>12</v>
      </c>
      <c r="E424" s="41">
        <f>E425</f>
        <v>11.9</v>
      </c>
      <c r="F424" s="93">
        <f t="shared" si="108"/>
        <v>99.2</v>
      </c>
    </row>
    <row r="425" spans="1:7" ht="39.6" x14ac:dyDescent="0.25">
      <c r="A425" s="74">
        <v>1140123330</v>
      </c>
      <c r="B425" s="82" t="s">
        <v>205</v>
      </c>
      <c r="C425" s="97" t="s">
        <v>206</v>
      </c>
      <c r="D425" s="41">
        <v>12</v>
      </c>
      <c r="E425" s="41">
        <v>11.9</v>
      </c>
      <c r="F425" s="93">
        <f t="shared" si="108"/>
        <v>99.2</v>
      </c>
    </row>
    <row r="426" spans="1:7" ht="29.25" customHeight="1" x14ac:dyDescent="0.25">
      <c r="A426" s="74">
        <v>1140123335</v>
      </c>
      <c r="B426" s="16"/>
      <c r="C426" s="97" t="s">
        <v>217</v>
      </c>
      <c r="D426" s="41">
        <f>D427</f>
        <v>3</v>
      </c>
      <c r="E426" s="41">
        <f>E427</f>
        <v>3</v>
      </c>
      <c r="F426" s="93">
        <f t="shared" si="108"/>
        <v>100</v>
      </c>
    </row>
    <row r="427" spans="1:7" ht="39.6" x14ac:dyDescent="0.25">
      <c r="A427" s="74">
        <v>1140123335</v>
      </c>
      <c r="B427" s="82" t="s">
        <v>205</v>
      </c>
      <c r="C427" s="97" t="s">
        <v>206</v>
      </c>
      <c r="D427" s="41">
        <v>3</v>
      </c>
      <c r="E427" s="41">
        <v>3</v>
      </c>
      <c r="F427" s="93">
        <f t="shared" si="108"/>
        <v>100</v>
      </c>
    </row>
    <row r="428" spans="1:7" ht="77.25" customHeight="1" x14ac:dyDescent="0.25">
      <c r="A428" s="73" t="s">
        <v>56</v>
      </c>
      <c r="B428" s="16"/>
      <c r="C428" s="53" t="s">
        <v>571</v>
      </c>
      <c r="D428" s="95">
        <f>D429+D441+D445+D454</f>
        <v>30614.400000000001</v>
      </c>
      <c r="E428" s="95">
        <f>E429+E441+E445+E454</f>
        <v>29379.8</v>
      </c>
      <c r="F428" s="65">
        <f t="shared" si="108"/>
        <v>96</v>
      </c>
      <c r="G428" s="102"/>
    </row>
    <row r="429" spans="1:7" ht="39.6" x14ac:dyDescent="0.25">
      <c r="A429" s="52" t="s">
        <v>57</v>
      </c>
      <c r="B429" s="47"/>
      <c r="C429" s="48" t="s">
        <v>690</v>
      </c>
      <c r="D429" s="92">
        <f>D430+D438</f>
        <v>10813.7</v>
      </c>
      <c r="E429" s="92">
        <f t="shared" ref="E429" si="118">E430+E438</f>
        <v>10734.499999999998</v>
      </c>
      <c r="F429" s="58">
        <f t="shared" si="108"/>
        <v>99.3</v>
      </c>
      <c r="G429" s="102"/>
    </row>
    <row r="430" spans="1:7" ht="39.6" x14ac:dyDescent="0.25">
      <c r="A430" s="21" t="s">
        <v>231</v>
      </c>
      <c r="B430" s="47"/>
      <c r="C430" s="98" t="s">
        <v>597</v>
      </c>
      <c r="D430" s="92">
        <f>D431+D433+D436</f>
        <v>10463.700000000001</v>
      </c>
      <c r="E430" s="92">
        <f t="shared" ref="E430" si="119">E431+E433+E436</f>
        <v>10384.499999999998</v>
      </c>
      <c r="F430" s="93">
        <f t="shared" si="108"/>
        <v>99.2</v>
      </c>
    </row>
    <row r="431" spans="1:7" ht="42" customHeight="1" x14ac:dyDescent="0.25">
      <c r="A431" s="74">
        <v>1210123505</v>
      </c>
      <c r="B431" s="21"/>
      <c r="C431" s="97" t="s">
        <v>507</v>
      </c>
      <c r="D431" s="41">
        <f>D432</f>
        <v>4068.2000000000003</v>
      </c>
      <c r="E431" s="41">
        <f>E432</f>
        <v>3995</v>
      </c>
      <c r="F431" s="93">
        <f t="shared" si="108"/>
        <v>98.2</v>
      </c>
    </row>
    <row r="432" spans="1:7" ht="39.6" x14ac:dyDescent="0.25">
      <c r="A432" s="74">
        <v>1210123505</v>
      </c>
      <c r="B432" s="82" t="s">
        <v>205</v>
      </c>
      <c r="C432" s="97" t="s">
        <v>206</v>
      </c>
      <c r="D432" s="39">
        <f>4057.1+14.3-3.2</f>
        <v>4068.2000000000003</v>
      </c>
      <c r="E432" s="39">
        <v>3995</v>
      </c>
      <c r="F432" s="93">
        <f t="shared" si="108"/>
        <v>98.2</v>
      </c>
    </row>
    <row r="433" spans="1:7" ht="63" customHeight="1" x14ac:dyDescent="0.25">
      <c r="A433" s="74">
        <v>1210123510</v>
      </c>
      <c r="B433" s="21"/>
      <c r="C433" s="97" t="s">
        <v>232</v>
      </c>
      <c r="D433" s="41">
        <f>SUM(D434:D435)</f>
        <v>5263.6</v>
      </c>
      <c r="E433" s="41">
        <f t="shared" ref="E433" si="120">SUM(E434:E435)</f>
        <v>5257.5999999999995</v>
      </c>
      <c r="F433" s="93">
        <f t="shared" si="108"/>
        <v>99.9</v>
      </c>
    </row>
    <row r="434" spans="1:7" ht="39.6" x14ac:dyDescent="0.25">
      <c r="A434" s="74">
        <v>1210123510</v>
      </c>
      <c r="B434" s="82" t="s">
        <v>205</v>
      </c>
      <c r="C434" s="97" t="s">
        <v>206</v>
      </c>
      <c r="D434" s="41">
        <f>5538.8-14.3-63.9-0.2-218+15+6</f>
        <v>5263.4000000000005</v>
      </c>
      <c r="E434" s="41">
        <v>5257.4</v>
      </c>
      <c r="F434" s="93">
        <f t="shared" si="108"/>
        <v>99.9</v>
      </c>
    </row>
    <row r="435" spans="1:7" x14ac:dyDescent="0.25">
      <c r="A435" s="74">
        <v>1210123510</v>
      </c>
      <c r="B435" s="82" t="s">
        <v>652</v>
      </c>
      <c r="C435" s="97" t="s">
        <v>653</v>
      </c>
      <c r="D435" s="41">
        <v>0.2</v>
      </c>
      <c r="E435" s="41">
        <v>0.2</v>
      </c>
      <c r="F435" s="93">
        <f t="shared" si="108"/>
        <v>100</v>
      </c>
    </row>
    <row r="436" spans="1:7" ht="26.4" x14ac:dyDescent="0.25">
      <c r="A436" s="74">
        <v>1210123515</v>
      </c>
      <c r="B436" s="16"/>
      <c r="C436" s="97" t="s">
        <v>23</v>
      </c>
      <c r="D436" s="41">
        <f>D437</f>
        <v>1131.9000000000001</v>
      </c>
      <c r="E436" s="41">
        <f>E437</f>
        <v>1131.9000000000001</v>
      </c>
      <c r="F436" s="93">
        <f t="shared" si="108"/>
        <v>100</v>
      </c>
    </row>
    <row r="437" spans="1:7" ht="39.6" x14ac:dyDescent="0.25">
      <c r="A437" s="74">
        <v>1210123515</v>
      </c>
      <c r="B437" s="82" t="s">
        <v>205</v>
      </c>
      <c r="C437" s="97" t="s">
        <v>206</v>
      </c>
      <c r="D437" s="41">
        <v>1131.9000000000001</v>
      </c>
      <c r="E437" s="41">
        <v>1131.9000000000001</v>
      </c>
      <c r="F437" s="93">
        <f t="shared" si="108"/>
        <v>100</v>
      </c>
    </row>
    <row r="438" spans="1:7" ht="26.4" x14ac:dyDescent="0.25">
      <c r="A438" s="21" t="s">
        <v>283</v>
      </c>
      <c r="B438" s="82"/>
      <c r="C438" s="98" t="s">
        <v>284</v>
      </c>
      <c r="D438" s="41">
        <f>D439</f>
        <v>350</v>
      </c>
      <c r="E438" s="41">
        <f t="shared" ref="E438" si="121">E439</f>
        <v>350</v>
      </c>
      <c r="F438" s="93">
        <f t="shared" si="108"/>
        <v>100</v>
      </c>
    </row>
    <row r="439" spans="1:7" ht="26.4" x14ac:dyDescent="0.25">
      <c r="A439" s="74">
        <v>1210223520</v>
      </c>
      <c r="B439" s="16"/>
      <c r="C439" s="97" t="s">
        <v>233</v>
      </c>
      <c r="D439" s="41">
        <f>D440</f>
        <v>350</v>
      </c>
      <c r="E439" s="41">
        <f>E440</f>
        <v>350</v>
      </c>
      <c r="F439" s="93">
        <f t="shared" si="108"/>
        <v>100</v>
      </c>
    </row>
    <row r="440" spans="1:7" ht="39.6" x14ac:dyDescent="0.25">
      <c r="A440" s="74">
        <v>1210223520</v>
      </c>
      <c r="B440" s="82" t="s">
        <v>205</v>
      </c>
      <c r="C440" s="97" t="s">
        <v>206</v>
      </c>
      <c r="D440" s="39">
        <v>350</v>
      </c>
      <c r="E440" s="39">
        <v>350</v>
      </c>
      <c r="F440" s="93">
        <f t="shared" si="108"/>
        <v>100</v>
      </c>
    </row>
    <row r="441" spans="1:7" ht="26.4" x14ac:dyDescent="0.25">
      <c r="A441" s="52" t="s">
        <v>58</v>
      </c>
      <c r="B441" s="47"/>
      <c r="C441" s="48" t="s">
        <v>26</v>
      </c>
      <c r="D441" s="92">
        <f>D442</f>
        <v>1963.8</v>
      </c>
      <c r="E441" s="92">
        <f>E442</f>
        <v>1922.2</v>
      </c>
      <c r="F441" s="58">
        <f t="shared" si="108"/>
        <v>97.9</v>
      </c>
      <c r="G441" s="102"/>
    </row>
    <row r="442" spans="1:7" x14ac:dyDescent="0.25">
      <c r="A442" s="21" t="s">
        <v>234</v>
      </c>
      <c r="B442" s="47"/>
      <c r="C442" s="98" t="s">
        <v>235</v>
      </c>
      <c r="D442" s="39">
        <f t="shared" ref="D442:E443" si="122">D443</f>
        <v>1963.8</v>
      </c>
      <c r="E442" s="39">
        <f t="shared" si="122"/>
        <v>1922.2</v>
      </c>
      <c r="F442" s="93">
        <f t="shared" si="108"/>
        <v>97.9</v>
      </c>
    </row>
    <row r="443" spans="1:7" ht="26.4" x14ac:dyDescent="0.25">
      <c r="A443" s="79">
        <v>1220123525</v>
      </c>
      <c r="B443" s="16"/>
      <c r="C443" s="97" t="s">
        <v>185</v>
      </c>
      <c r="D443" s="41">
        <f t="shared" si="122"/>
        <v>1963.8</v>
      </c>
      <c r="E443" s="41">
        <f t="shared" si="122"/>
        <v>1922.2</v>
      </c>
      <c r="F443" s="93">
        <f t="shared" si="108"/>
        <v>97.9</v>
      </c>
    </row>
    <row r="444" spans="1:7" ht="39.6" x14ac:dyDescent="0.25">
      <c r="A444" s="79">
        <v>1220123525</v>
      </c>
      <c r="B444" s="82" t="s">
        <v>205</v>
      </c>
      <c r="C444" s="97" t="s">
        <v>206</v>
      </c>
      <c r="D444" s="41">
        <f>1972.7-8.9</f>
        <v>1963.8</v>
      </c>
      <c r="E444" s="41">
        <v>1922.2</v>
      </c>
      <c r="F444" s="93">
        <f t="shared" si="108"/>
        <v>97.9</v>
      </c>
    </row>
    <row r="445" spans="1:7" ht="39.6" x14ac:dyDescent="0.25">
      <c r="A445" s="52" t="s">
        <v>59</v>
      </c>
      <c r="B445" s="47"/>
      <c r="C445" s="48" t="s">
        <v>598</v>
      </c>
      <c r="D445" s="92">
        <f>D446</f>
        <v>4668.4000000000005</v>
      </c>
      <c r="E445" s="92">
        <f t="shared" ref="E445" si="123">E446</f>
        <v>4106.3999999999996</v>
      </c>
      <c r="F445" s="58">
        <f t="shared" ref="F445:F508" si="124">ROUND((E445/D445*100),1)</f>
        <v>88</v>
      </c>
    </row>
    <row r="446" spans="1:7" ht="39.75" customHeight="1" x14ac:dyDescent="0.25">
      <c r="A446" s="21" t="s">
        <v>236</v>
      </c>
      <c r="B446" s="47"/>
      <c r="C446" s="98" t="s">
        <v>237</v>
      </c>
      <c r="D446" s="39">
        <f>D447+D450+D452</f>
        <v>4668.4000000000005</v>
      </c>
      <c r="E446" s="39">
        <f t="shared" ref="E446" si="125">E447+E450+E452</f>
        <v>4106.3999999999996</v>
      </c>
      <c r="F446" s="93">
        <f t="shared" si="124"/>
        <v>88</v>
      </c>
    </row>
    <row r="447" spans="1:7" ht="26.4" x14ac:dyDescent="0.25">
      <c r="A447" s="21" t="s">
        <v>508</v>
      </c>
      <c r="B447" s="16"/>
      <c r="C447" s="97" t="s">
        <v>298</v>
      </c>
      <c r="D447" s="41">
        <f>SUM(D448:D449)</f>
        <v>3681.3</v>
      </c>
      <c r="E447" s="41">
        <f>SUM(E448:E449)</f>
        <v>3140.1</v>
      </c>
      <c r="F447" s="93">
        <f t="shared" si="124"/>
        <v>85.3</v>
      </c>
    </row>
    <row r="448" spans="1:7" ht="39.6" x14ac:dyDescent="0.25">
      <c r="A448" s="21" t="s">
        <v>508</v>
      </c>
      <c r="B448" s="82" t="s">
        <v>205</v>
      </c>
      <c r="C448" s="97" t="s">
        <v>206</v>
      </c>
      <c r="D448" s="41">
        <f>3681.3-0.6</f>
        <v>3680.7000000000003</v>
      </c>
      <c r="E448" s="41">
        <v>3139.5</v>
      </c>
      <c r="F448" s="93">
        <f t="shared" si="124"/>
        <v>85.3</v>
      </c>
    </row>
    <row r="449" spans="1:6" x14ac:dyDescent="0.25">
      <c r="A449" s="21" t="s">
        <v>508</v>
      </c>
      <c r="B449" s="82" t="s">
        <v>652</v>
      </c>
      <c r="C449" s="97" t="s">
        <v>653</v>
      </c>
      <c r="D449" s="41">
        <v>0.6</v>
      </c>
      <c r="E449" s="41">
        <v>0.6</v>
      </c>
      <c r="F449" s="93">
        <f t="shared" si="124"/>
        <v>100</v>
      </c>
    </row>
    <row r="450" spans="1:6" ht="26.4" x14ac:dyDescent="0.25">
      <c r="A450" s="21" t="s">
        <v>509</v>
      </c>
      <c r="B450" s="16"/>
      <c r="C450" s="97" t="s">
        <v>24</v>
      </c>
      <c r="D450" s="41">
        <f>D451</f>
        <v>980.1</v>
      </c>
      <c r="E450" s="41">
        <f>E451</f>
        <v>959.3</v>
      </c>
      <c r="F450" s="93">
        <f t="shared" si="124"/>
        <v>97.9</v>
      </c>
    </row>
    <row r="451" spans="1:6" ht="39.6" x14ac:dyDescent="0.25">
      <c r="A451" s="21" t="s">
        <v>509</v>
      </c>
      <c r="B451" s="82" t="s">
        <v>205</v>
      </c>
      <c r="C451" s="97" t="s">
        <v>206</v>
      </c>
      <c r="D451" s="41">
        <f>600+380.1</f>
        <v>980.1</v>
      </c>
      <c r="E451" s="41">
        <v>959.3</v>
      </c>
      <c r="F451" s="93">
        <f t="shared" si="124"/>
        <v>97.9</v>
      </c>
    </row>
    <row r="452" spans="1:6" ht="26.4" x14ac:dyDescent="0.25">
      <c r="A452" s="21" t="s">
        <v>510</v>
      </c>
      <c r="B452" s="16"/>
      <c r="C452" s="97" t="s">
        <v>186</v>
      </c>
      <c r="D452" s="41">
        <f>D453</f>
        <v>7</v>
      </c>
      <c r="E452" s="41">
        <f>E453</f>
        <v>7</v>
      </c>
      <c r="F452" s="93">
        <f t="shared" si="124"/>
        <v>100</v>
      </c>
    </row>
    <row r="453" spans="1:6" ht="39.6" x14ac:dyDescent="0.25">
      <c r="A453" s="21" t="s">
        <v>510</v>
      </c>
      <c r="B453" s="82" t="s">
        <v>205</v>
      </c>
      <c r="C453" s="97" t="s">
        <v>206</v>
      </c>
      <c r="D453" s="41">
        <v>7</v>
      </c>
      <c r="E453" s="41">
        <v>7</v>
      </c>
      <c r="F453" s="93">
        <f t="shared" si="124"/>
        <v>100</v>
      </c>
    </row>
    <row r="454" spans="1:6" ht="52.8" x14ac:dyDescent="0.25">
      <c r="A454" s="52" t="s">
        <v>511</v>
      </c>
      <c r="B454" s="16"/>
      <c r="C454" s="60" t="s">
        <v>512</v>
      </c>
      <c r="D454" s="92">
        <f>D455+D458</f>
        <v>13168.5</v>
      </c>
      <c r="E454" s="92">
        <f>E455+E458</f>
        <v>12616.7</v>
      </c>
      <c r="F454" s="58">
        <f t="shared" si="124"/>
        <v>95.8</v>
      </c>
    </row>
    <row r="455" spans="1:6" ht="39.6" x14ac:dyDescent="0.25">
      <c r="A455" s="21" t="s">
        <v>513</v>
      </c>
      <c r="B455" s="16"/>
      <c r="C455" s="98" t="s">
        <v>514</v>
      </c>
      <c r="D455" s="41">
        <f>D456</f>
        <v>962.9</v>
      </c>
      <c r="E455" s="41">
        <f>E456</f>
        <v>845.5</v>
      </c>
      <c r="F455" s="93">
        <f t="shared" si="124"/>
        <v>87.8</v>
      </c>
    </row>
    <row r="456" spans="1:6" ht="26.4" x14ac:dyDescent="0.25">
      <c r="A456" s="21" t="s">
        <v>601</v>
      </c>
      <c r="B456" s="16"/>
      <c r="C456" s="98" t="s">
        <v>602</v>
      </c>
      <c r="D456" s="41">
        <f>D457</f>
        <v>962.9</v>
      </c>
      <c r="E456" s="41">
        <f t="shared" ref="E456" si="126">E457</f>
        <v>845.5</v>
      </c>
      <c r="F456" s="93">
        <f t="shared" si="124"/>
        <v>87.8</v>
      </c>
    </row>
    <row r="457" spans="1:6" ht="39.6" x14ac:dyDescent="0.25">
      <c r="A457" s="21" t="s">
        <v>601</v>
      </c>
      <c r="B457" s="82" t="s">
        <v>205</v>
      </c>
      <c r="C457" s="97" t="s">
        <v>206</v>
      </c>
      <c r="D457" s="41">
        <f>799.5+163.4</f>
        <v>962.9</v>
      </c>
      <c r="E457" s="41">
        <v>845.5</v>
      </c>
      <c r="F457" s="93">
        <f t="shared" si="124"/>
        <v>87.8</v>
      </c>
    </row>
    <row r="458" spans="1:6" ht="44.25" customHeight="1" x14ac:dyDescent="0.25">
      <c r="A458" s="21" t="s">
        <v>515</v>
      </c>
      <c r="B458" s="16"/>
      <c r="C458" s="97" t="s">
        <v>672</v>
      </c>
      <c r="D458" s="41">
        <f>D459+D461</f>
        <v>12205.6</v>
      </c>
      <c r="E458" s="41">
        <f t="shared" ref="E458" si="127">E459+E461</f>
        <v>11771.2</v>
      </c>
      <c r="F458" s="93">
        <f t="shared" si="124"/>
        <v>96.4</v>
      </c>
    </row>
    <row r="459" spans="1:6" ht="31.5" customHeight="1" x14ac:dyDescent="0.25">
      <c r="A459" s="21" t="s">
        <v>516</v>
      </c>
      <c r="B459" s="82"/>
      <c r="C459" s="97" t="s">
        <v>519</v>
      </c>
      <c r="D459" s="41">
        <f t="shared" ref="D459" si="128">D460</f>
        <v>9200</v>
      </c>
      <c r="E459" s="41">
        <v>9007.1</v>
      </c>
      <c r="F459" s="93">
        <f t="shared" si="124"/>
        <v>97.9</v>
      </c>
    </row>
    <row r="460" spans="1:6" ht="39.6" x14ac:dyDescent="0.25">
      <c r="A460" s="21" t="s">
        <v>516</v>
      </c>
      <c r="B460" s="82" t="s">
        <v>205</v>
      </c>
      <c r="C460" s="97" t="s">
        <v>206</v>
      </c>
      <c r="D460" s="41">
        <v>9200</v>
      </c>
      <c r="E460" s="41">
        <v>9007.2000000000007</v>
      </c>
      <c r="F460" s="93">
        <f t="shared" si="124"/>
        <v>97.9</v>
      </c>
    </row>
    <row r="461" spans="1:6" x14ac:dyDescent="0.25">
      <c r="A461" s="21" t="s">
        <v>517</v>
      </c>
      <c r="B461" s="82"/>
      <c r="C461" s="97" t="s">
        <v>518</v>
      </c>
      <c r="D461" s="41">
        <f>D462</f>
        <v>3005.6</v>
      </c>
      <c r="E461" s="41">
        <f t="shared" ref="E461" si="129">E462</f>
        <v>2764.1</v>
      </c>
      <c r="F461" s="93">
        <f t="shared" si="124"/>
        <v>92</v>
      </c>
    </row>
    <row r="462" spans="1:6" ht="39.6" x14ac:dyDescent="0.25">
      <c r="A462" s="21" t="s">
        <v>517</v>
      </c>
      <c r="B462" s="82" t="s">
        <v>205</v>
      </c>
      <c r="C462" s="97" t="s">
        <v>206</v>
      </c>
      <c r="D462" s="41">
        <f>3256.7-251.1</f>
        <v>3005.6</v>
      </c>
      <c r="E462" s="41">
        <v>2764.1</v>
      </c>
      <c r="F462" s="93">
        <f t="shared" si="124"/>
        <v>92</v>
      </c>
    </row>
    <row r="463" spans="1:6" ht="79.8" x14ac:dyDescent="0.3">
      <c r="A463" s="73" t="s">
        <v>36</v>
      </c>
      <c r="B463" s="3"/>
      <c r="C463" s="139" t="s">
        <v>572</v>
      </c>
      <c r="D463" s="59">
        <f>D464+D478</f>
        <v>42925.5</v>
      </c>
      <c r="E463" s="59">
        <f>E464+E478</f>
        <v>42881.7</v>
      </c>
      <c r="F463" s="65">
        <f t="shared" si="124"/>
        <v>99.9</v>
      </c>
    </row>
    <row r="464" spans="1:6" ht="27" x14ac:dyDescent="0.3">
      <c r="A464" s="52" t="s">
        <v>37</v>
      </c>
      <c r="B464" s="3"/>
      <c r="C464" s="46" t="s">
        <v>83</v>
      </c>
      <c r="D464" s="92">
        <f>D465+D470+D475</f>
        <v>39899.199999999997</v>
      </c>
      <c r="E464" s="92">
        <f>E465+E470+E475</f>
        <v>39899.1</v>
      </c>
      <c r="F464" s="58">
        <f t="shared" si="124"/>
        <v>100</v>
      </c>
    </row>
    <row r="465" spans="1:6" ht="27" x14ac:dyDescent="0.3">
      <c r="A465" s="21" t="s">
        <v>269</v>
      </c>
      <c r="B465" s="3"/>
      <c r="C465" s="103" t="s">
        <v>270</v>
      </c>
      <c r="D465" s="41">
        <f>D466+D468</f>
        <v>3431.1000000000004</v>
      </c>
      <c r="E465" s="41">
        <f t="shared" ref="E465" si="130">E466+E468</f>
        <v>3431.1000000000004</v>
      </c>
      <c r="F465" s="93">
        <f t="shared" si="124"/>
        <v>100</v>
      </c>
    </row>
    <row r="466" spans="1:6" ht="40.200000000000003" x14ac:dyDescent="0.3">
      <c r="A466" s="21" t="s">
        <v>300</v>
      </c>
      <c r="B466" s="3"/>
      <c r="C466" s="126" t="s">
        <v>196</v>
      </c>
      <c r="D466" s="41">
        <f t="shared" ref="D466:E466" si="131">D467</f>
        <v>686.2</v>
      </c>
      <c r="E466" s="41">
        <f t="shared" si="131"/>
        <v>686.2</v>
      </c>
      <c r="F466" s="93">
        <f t="shared" si="124"/>
        <v>100</v>
      </c>
    </row>
    <row r="467" spans="1:6" x14ac:dyDescent="0.25">
      <c r="A467" s="21" t="s">
        <v>300</v>
      </c>
      <c r="B467" s="82" t="s">
        <v>244</v>
      </c>
      <c r="C467" s="101" t="s">
        <v>243</v>
      </c>
      <c r="D467" s="41">
        <v>686.2</v>
      </c>
      <c r="E467" s="41">
        <v>686.2</v>
      </c>
      <c r="F467" s="93">
        <f t="shared" si="124"/>
        <v>100</v>
      </c>
    </row>
    <row r="468" spans="1:6" ht="39.6" x14ac:dyDescent="0.25">
      <c r="A468" s="21" t="s">
        <v>649</v>
      </c>
      <c r="B468" s="82"/>
      <c r="C468" s="122" t="s">
        <v>650</v>
      </c>
      <c r="D468" s="41">
        <f>D469</f>
        <v>2744.9</v>
      </c>
      <c r="E468" s="41">
        <f t="shared" ref="E468" si="132">E469</f>
        <v>2744.9</v>
      </c>
      <c r="F468" s="93">
        <f t="shared" si="124"/>
        <v>100</v>
      </c>
    </row>
    <row r="469" spans="1:6" x14ac:dyDescent="0.25">
      <c r="A469" s="21" t="s">
        <v>649</v>
      </c>
      <c r="B469" s="82" t="s">
        <v>244</v>
      </c>
      <c r="C469" s="101" t="s">
        <v>243</v>
      </c>
      <c r="D469" s="41">
        <v>2744.9</v>
      </c>
      <c r="E469" s="41">
        <v>2744.9</v>
      </c>
      <c r="F469" s="93">
        <f t="shared" si="124"/>
        <v>100</v>
      </c>
    </row>
    <row r="470" spans="1:6" ht="79.8" x14ac:dyDescent="0.3">
      <c r="A470" s="21" t="s">
        <v>271</v>
      </c>
      <c r="B470" s="35"/>
      <c r="C470" s="96" t="s">
        <v>550</v>
      </c>
      <c r="D470" s="39">
        <f>D471+D473</f>
        <v>22416.6</v>
      </c>
      <c r="E470" s="39">
        <f>E471+E473</f>
        <v>22416.5</v>
      </c>
      <c r="F470" s="93">
        <f t="shared" si="124"/>
        <v>100</v>
      </c>
    </row>
    <row r="471" spans="1:6" ht="52.8" x14ac:dyDescent="0.25">
      <c r="A471" s="79">
        <v>1310210820</v>
      </c>
      <c r="B471" s="16"/>
      <c r="C471" s="97" t="s">
        <v>163</v>
      </c>
      <c r="D471" s="39">
        <f>D472</f>
        <v>14410.7</v>
      </c>
      <c r="E471" s="39">
        <f>E472</f>
        <v>14410.6</v>
      </c>
      <c r="F471" s="93">
        <f t="shared" si="124"/>
        <v>100</v>
      </c>
    </row>
    <row r="472" spans="1:6" x14ac:dyDescent="0.25">
      <c r="A472" s="79">
        <v>1310210820</v>
      </c>
      <c r="B472" s="82" t="s">
        <v>244</v>
      </c>
      <c r="C472" s="101" t="s">
        <v>243</v>
      </c>
      <c r="D472" s="39">
        <f>4803.6+9607.1</f>
        <v>14410.7</v>
      </c>
      <c r="E472" s="39">
        <v>14410.6</v>
      </c>
      <c r="F472" s="93">
        <f t="shared" si="124"/>
        <v>100</v>
      </c>
    </row>
    <row r="473" spans="1:6" ht="39.6" x14ac:dyDescent="0.25">
      <c r="A473" s="79" t="s">
        <v>333</v>
      </c>
      <c r="B473" s="16"/>
      <c r="C473" s="97" t="s">
        <v>307</v>
      </c>
      <c r="D473" s="39">
        <f>D474</f>
        <v>8005.9</v>
      </c>
      <c r="E473" s="39">
        <f>E474</f>
        <v>8005.9</v>
      </c>
      <c r="F473" s="93">
        <f t="shared" si="124"/>
        <v>100</v>
      </c>
    </row>
    <row r="474" spans="1:6" x14ac:dyDescent="0.25">
      <c r="A474" s="79" t="s">
        <v>333</v>
      </c>
      <c r="B474" s="82" t="s">
        <v>244</v>
      </c>
      <c r="C474" s="101" t="s">
        <v>243</v>
      </c>
      <c r="D474" s="39">
        <f>17613-9607.1</f>
        <v>8005.9</v>
      </c>
      <c r="E474" s="39">
        <f>17613-9607.1</f>
        <v>8005.9</v>
      </c>
      <c r="F474" s="93">
        <f t="shared" si="124"/>
        <v>100</v>
      </c>
    </row>
    <row r="475" spans="1:6" ht="26.4" x14ac:dyDescent="0.25">
      <c r="A475" s="21" t="s">
        <v>294</v>
      </c>
      <c r="B475" s="82"/>
      <c r="C475" s="103" t="s">
        <v>328</v>
      </c>
      <c r="D475" s="41">
        <f t="shared" ref="D475:E476" si="133">D476</f>
        <v>14051.5</v>
      </c>
      <c r="E475" s="41">
        <f t="shared" si="133"/>
        <v>14051.5</v>
      </c>
      <c r="F475" s="93">
        <f t="shared" si="124"/>
        <v>100</v>
      </c>
    </row>
    <row r="476" spans="1:6" ht="52.8" x14ac:dyDescent="0.25">
      <c r="A476" s="74" t="s">
        <v>327</v>
      </c>
      <c r="B476" s="16"/>
      <c r="C476" s="97" t="s">
        <v>314</v>
      </c>
      <c r="D476" s="93">
        <f t="shared" si="133"/>
        <v>14051.5</v>
      </c>
      <c r="E476" s="93">
        <f t="shared" si="133"/>
        <v>14051.5</v>
      </c>
      <c r="F476" s="93">
        <f t="shared" si="124"/>
        <v>100</v>
      </c>
    </row>
    <row r="477" spans="1:6" ht="26.25" customHeight="1" x14ac:dyDescent="0.25">
      <c r="A477" s="74" t="s">
        <v>327</v>
      </c>
      <c r="B477" s="82" t="s">
        <v>256</v>
      </c>
      <c r="C477" s="97" t="s">
        <v>245</v>
      </c>
      <c r="D477" s="93">
        <f>2810.3+11241.2</f>
        <v>14051.5</v>
      </c>
      <c r="E477" s="93">
        <v>14051.5</v>
      </c>
      <c r="F477" s="93">
        <f t="shared" si="124"/>
        <v>100</v>
      </c>
    </row>
    <row r="478" spans="1:6" ht="26.4" x14ac:dyDescent="0.25">
      <c r="A478" s="52" t="s">
        <v>38</v>
      </c>
      <c r="B478" s="16"/>
      <c r="C478" s="46" t="s">
        <v>80</v>
      </c>
      <c r="D478" s="92">
        <f>D479+D482</f>
        <v>3026.3</v>
      </c>
      <c r="E478" s="92">
        <f>E479+E482</f>
        <v>2982.6</v>
      </c>
      <c r="F478" s="58">
        <f t="shared" si="124"/>
        <v>98.6</v>
      </c>
    </row>
    <row r="479" spans="1:6" ht="52.8" x14ac:dyDescent="0.25">
      <c r="A479" s="21" t="s">
        <v>520</v>
      </c>
      <c r="B479" s="16"/>
      <c r="C479" s="103" t="s">
        <v>295</v>
      </c>
      <c r="D479" s="41">
        <f t="shared" ref="D479:E480" si="134">D480</f>
        <v>688</v>
      </c>
      <c r="E479" s="41">
        <f t="shared" si="134"/>
        <v>688</v>
      </c>
      <c r="F479" s="93">
        <f t="shared" si="124"/>
        <v>100</v>
      </c>
    </row>
    <row r="480" spans="1:6" ht="52.8" x14ac:dyDescent="0.25">
      <c r="A480" s="79">
        <v>1320127100</v>
      </c>
      <c r="B480" s="16"/>
      <c r="C480" s="97" t="s">
        <v>3</v>
      </c>
      <c r="D480" s="41">
        <f t="shared" si="134"/>
        <v>688</v>
      </c>
      <c r="E480" s="41">
        <f t="shared" si="134"/>
        <v>688</v>
      </c>
      <c r="F480" s="93">
        <f t="shared" si="124"/>
        <v>100</v>
      </c>
    </row>
    <row r="481" spans="1:6" ht="66" x14ac:dyDescent="0.25">
      <c r="A481" s="79">
        <v>1320127100</v>
      </c>
      <c r="B481" s="16" t="s">
        <v>19</v>
      </c>
      <c r="C481" s="98" t="s">
        <v>356</v>
      </c>
      <c r="D481" s="41">
        <v>688</v>
      </c>
      <c r="E481" s="41">
        <v>688</v>
      </c>
      <c r="F481" s="93">
        <f t="shared" si="124"/>
        <v>100</v>
      </c>
    </row>
    <row r="482" spans="1:6" ht="40.200000000000003" x14ac:dyDescent="0.3">
      <c r="A482" s="21" t="s">
        <v>272</v>
      </c>
      <c r="B482" s="3"/>
      <c r="C482" s="103" t="s">
        <v>670</v>
      </c>
      <c r="D482" s="39">
        <f t="shared" ref="D482:E483" si="135">D483</f>
        <v>2338.3000000000002</v>
      </c>
      <c r="E482" s="39">
        <f t="shared" si="135"/>
        <v>2294.6</v>
      </c>
      <c r="F482" s="93">
        <f t="shared" si="124"/>
        <v>98.1</v>
      </c>
    </row>
    <row r="483" spans="1:6" ht="27" x14ac:dyDescent="0.3">
      <c r="A483" s="79">
        <v>1320225100</v>
      </c>
      <c r="B483" s="3"/>
      <c r="C483" s="98" t="s">
        <v>358</v>
      </c>
      <c r="D483" s="41">
        <f t="shared" si="135"/>
        <v>2338.3000000000002</v>
      </c>
      <c r="E483" s="41">
        <f t="shared" si="135"/>
        <v>2294.6</v>
      </c>
      <c r="F483" s="93">
        <f t="shared" si="124"/>
        <v>98.1</v>
      </c>
    </row>
    <row r="484" spans="1:6" ht="26.4" x14ac:dyDescent="0.25">
      <c r="A484" s="79">
        <v>1320225100</v>
      </c>
      <c r="B484" s="82" t="s">
        <v>273</v>
      </c>
      <c r="C484" s="97" t="s">
        <v>274</v>
      </c>
      <c r="D484" s="39">
        <f>1585.3+753</f>
        <v>2338.3000000000002</v>
      </c>
      <c r="E484" s="39">
        <v>2294.6</v>
      </c>
      <c r="F484" s="93">
        <f t="shared" si="124"/>
        <v>98.1</v>
      </c>
    </row>
    <row r="485" spans="1:6" ht="77.25" customHeight="1" x14ac:dyDescent="0.25">
      <c r="A485" s="76">
        <v>1400000000</v>
      </c>
      <c r="B485" s="16"/>
      <c r="C485" s="139" t="s">
        <v>573</v>
      </c>
      <c r="D485" s="95">
        <f>D486</f>
        <v>18211.099999999999</v>
      </c>
      <c r="E485" s="95">
        <f t="shared" ref="E485" si="136">E486</f>
        <v>18057</v>
      </c>
      <c r="F485" s="62">
        <f t="shared" si="124"/>
        <v>99.2</v>
      </c>
    </row>
    <row r="486" spans="1:6" ht="79.2" x14ac:dyDescent="0.25">
      <c r="A486" s="75">
        <v>1410000000</v>
      </c>
      <c r="B486" s="16"/>
      <c r="C486" s="48" t="s">
        <v>210</v>
      </c>
      <c r="D486" s="92">
        <f>D487+D492</f>
        <v>18211.099999999999</v>
      </c>
      <c r="E486" s="92">
        <f>E487+E492</f>
        <v>18057</v>
      </c>
      <c r="F486" s="58">
        <f t="shared" si="124"/>
        <v>99.2</v>
      </c>
    </row>
    <row r="487" spans="1:6" ht="92.4" x14ac:dyDescent="0.25">
      <c r="A487" s="74">
        <v>1410200000</v>
      </c>
      <c r="B487" s="16"/>
      <c r="C487" s="97" t="s">
        <v>359</v>
      </c>
      <c r="D487" s="41">
        <f>D488+D490</f>
        <v>8569.5</v>
      </c>
      <c r="E487" s="41">
        <f t="shared" ref="E487" si="137">E488+E490</f>
        <v>8488.6</v>
      </c>
      <c r="F487" s="93">
        <f t="shared" si="124"/>
        <v>99.1</v>
      </c>
    </row>
    <row r="488" spans="1:6" ht="39.6" x14ac:dyDescent="0.25">
      <c r="A488" s="74">
        <v>1410223125</v>
      </c>
      <c r="B488" s="82"/>
      <c r="C488" s="97" t="s">
        <v>648</v>
      </c>
      <c r="D488" s="41">
        <f>D489</f>
        <v>1289.7</v>
      </c>
      <c r="E488" s="41">
        <f>E489</f>
        <v>1208.8</v>
      </c>
      <c r="F488" s="93">
        <f t="shared" si="124"/>
        <v>93.7</v>
      </c>
    </row>
    <row r="489" spans="1:6" ht="39.6" x14ac:dyDescent="0.25">
      <c r="A489" s="74">
        <v>1410223125</v>
      </c>
      <c r="B489" s="82" t="s">
        <v>205</v>
      </c>
      <c r="C489" s="97" t="s">
        <v>206</v>
      </c>
      <c r="D489" s="41">
        <f>1237.5+58.2-6</f>
        <v>1289.7</v>
      </c>
      <c r="E489" s="41">
        <v>1208.8</v>
      </c>
      <c r="F489" s="93">
        <f t="shared" si="124"/>
        <v>93.7</v>
      </c>
    </row>
    <row r="490" spans="1:6" ht="26.4" x14ac:dyDescent="0.25">
      <c r="A490" s="74">
        <v>1410223130</v>
      </c>
      <c r="B490" s="82"/>
      <c r="C490" s="107" t="s">
        <v>651</v>
      </c>
      <c r="D490" s="41">
        <f>D491</f>
        <v>7279.8</v>
      </c>
      <c r="E490" s="41">
        <f t="shared" ref="E490" si="138">E491</f>
        <v>7279.8</v>
      </c>
      <c r="F490" s="93">
        <f t="shared" si="124"/>
        <v>100</v>
      </c>
    </row>
    <row r="491" spans="1:6" ht="39.6" x14ac:dyDescent="0.25">
      <c r="A491" s="74">
        <v>1410223130</v>
      </c>
      <c r="B491" s="82" t="s">
        <v>205</v>
      </c>
      <c r="C491" s="97" t="s">
        <v>206</v>
      </c>
      <c r="D491" s="39">
        <f>12198.1-4918.3</f>
        <v>7279.8</v>
      </c>
      <c r="E491" s="41">
        <v>7279.8</v>
      </c>
      <c r="F491" s="93">
        <f t="shared" si="124"/>
        <v>100</v>
      </c>
    </row>
    <row r="492" spans="1:6" ht="52.8" x14ac:dyDescent="0.25">
      <c r="A492" s="74" t="s">
        <v>372</v>
      </c>
      <c r="B492" s="82"/>
      <c r="C492" s="97" t="s">
        <v>373</v>
      </c>
      <c r="D492" s="41">
        <f>D493</f>
        <v>9641.6</v>
      </c>
      <c r="E492" s="41">
        <f t="shared" ref="E492" si="139">E493</f>
        <v>9568.4</v>
      </c>
      <c r="F492" s="93">
        <f t="shared" si="124"/>
        <v>99.2</v>
      </c>
    </row>
    <row r="493" spans="1:6" ht="39.6" x14ac:dyDescent="0.25">
      <c r="A493" s="74" t="s">
        <v>347</v>
      </c>
      <c r="B493" s="16"/>
      <c r="C493" s="97" t="s">
        <v>313</v>
      </c>
      <c r="D493" s="41">
        <f>D494</f>
        <v>9641.6</v>
      </c>
      <c r="E493" s="41">
        <f>E494</f>
        <v>9568.4</v>
      </c>
      <c r="F493" s="93">
        <f t="shared" si="124"/>
        <v>99.2</v>
      </c>
    </row>
    <row r="494" spans="1:6" ht="39.6" x14ac:dyDescent="0.25">
      <c r="A494" s="74" t="s">
        <v>347</v>
      </c>
      <c r="B494" s="82" t="s">
        <v>205</v>
      </c>
      <c r="C494" s="97" t="s">
        <v>206</v>
      </c>
      <c r="D494" s="41">
        <f>717.4+8924.2</f>
        <v>9641.6</v>
      </c>
      <c r="E494" s="41">
        <v>9568.4</v>
      </c>
      <c r="F494" s="93">
        <f t="shared" si="124"/>
        <v>99.2</v>
      </c>
    </row>
    <row r="495" spans="1:6" ht="116.25" customHeight="1" x14ac:dyDescent="0.25">
      <c r="A495" s="73" t="s">
        <v>533</v>
      </c>
      <c r="B495" s="82"/>
      <c r="C495" s="139" t="s">
        <v>574</v>
      </c>
      <c r="D495" s="95">
        <f>D496</f>
        <v>2681.9</v>
      </c>
      <c r="E495" s="95">
        <f t="shared" ref="E495" si="140">E496</f>
        <v>2650.7000000000003</v>
      </c>
      <c r="F495" s="62">
        <f t="shared" si="124"/>
        <v>98.8</v>
      </c>
    </row>
    <row r="496" spans="1:6" ht="52.8" x14ac:dyDescent="0.25">
      <c r="A496" s="138">
        <v>1510000000</v>
      </c>
      <c r="B496" s="82"/>
      <c r="C496" s="48" t="s">
        <v>357</v>
      </c>
      <c r="D496" s="41">
        <f>D497</f>
        <v>2681.9</v>
      </c>
      <c r="E496" s="41">
        <f>E497</f>
        <v>2650.7000000000003</v>
      </c>
      <c r="F496" s="58">
        <f t="shared" si="124"/>
        <v>98.8</v>
      </c>
    </row>
    <row r="497" spans="1:7" ht="52.8" x14ac:dyDescent="0.25">
      <c r="A497" s="127">
        <v>1510300000</v>
      </c>
      <c r="B497" s="82"/>
      <c r="C497" s="97" t="s">
        <v>534</v>
      </c>
      <c r="D497" s="41">
        <f>D498+D500+D502+D504+D506</f>
        <v>2681.9</v>
      </c>
      <c r="E497" s="41">
        <f>E498+E500+E502+E504+E506</f>
        <v>2650.7000000000003</v>
      </c>
      <c r="F497" s="93">
        <f t="shared" si="124"/>
        <v>98.8</v>
      </c>
    </row>
    <row r="498" spans="1:7" ht="52.8" x14ac:dyDescent="0.25">
      <c r="A498" s="127" t="s">
        <v>668</v>
      </c>
      <c r="B498" s="82"/>
      <c r="C498" s="155" t="s">
        <v>647</v>
      </c>
      <c r="D498" s="41">
        <f>D499</f>
        <v>516</v>
      </c>
      <c r="E498" s="41">
        <f t="shared" ref="E498" si="141">E499</f>
        <v>516</v>
      </c>
      <c r="F498" s="93">
        <f t="shared" si="124"/>
        <v>100</v>
      </c>
    </row>
    <row r="499" spans="1:7" ht="39.6" x14ac:dyDescent="0.25">
      <c r="A499" s="127" t="s">
        <v>668</v>
      </c>
      <c r="B499" s="82" t="s">
        <v>205</v>
      </c>
      <c r="C499" s="97" t="s">
        <v>206</v>
      </c>
      <c r="D499" s="41">
        <v>516</v>
      </c>
      <c r="E499" s="41">
        <v>516</v>
      </c>
      <c r="F499" s="93">
        <f t="shared" si="124"/>
        <v>100</v>
      </c>
    </row>
    <row r="500" spans="1:7" ht="52.8" x14ac:dyDescent="0.25">
      <c r="A500" s="127">
        <v>1510319022</v>
      </c>
      <c r="B500" s="82"/>
      <c r="C500" s="155" t="s">
        <v>647</v>
      </c>
      <c r="D500" s="41">
        <f>D501</f>
        <v>525.9</v>
      </c>
      <c r="E500" s="41">
        <f t="shared" ref="E500" si="142">E501</f>
        <v>525.9</v>
      </c>
      <c r="F500" s="93">
        <f t="shared" si="124"/>
        <v>100</v>
      </c>
    </row>
    <row r="501" spans="1:7" ht="39.6" x14ac:dyDescent="0.25">
      <c r="A501" s="127">
        <v>1510319022</v>
      </c>
      <c r="B501" s="82" t="s">
        <v>205</v>
      </c>
      <c r="C501" s="97" t="s">
        <v>206</v>
      </c>
      <c r="D501" s="41">
        <v>525.9</v>
      </c>
      <c r="E501" s="41">
        <v>525.9</v>
      </c>
      <c r="F501" s="93">
        <f t="shared" si="124"/>
        <v>100</v>
      </c>
    </row>
    <row r="502" spans="1:7" ht="52.8" x14ac:dyDescent="0.25">
      <c r="A502" s="127">
        <v>1510319322</v>
      </c>
      <c r="B502" s="82"/>
      <c r="C502" s="155" t="s">
        <v>647</v>
      </c>
      <c r="D502" s="41">
        <f>D503</f>
        <v>10</v>
      </c>
      <c r="E502" s="41">
        <f t="shared" ref="E502" si="143">E503</f>
        <v>10</v>
      </c>
      <c r="F502" s="93">
        <f t="shared" si="124"/>
        <v>100</v>
      </c>
    </row>
    <row r="503" spans="1:7" ht="39.6" x14ac:dyDescent="0.25">
      <c r="A503" s="127">
        <v>1510319322</v>
      </c>
      <c r="B503" s="82" t="s">
        <v>205</v>
      </c>
      <c r="C503" s="97" t="s">
        <v>206</v>
      </c>
      <c r="D503" s="41">
        <v>10</v>
      </c>
      <c r="E503" s="41">
        <v>10</v>
      </c>
      <c r="F503" s="93">
        <f t="shared" si="124"/>
        <v>100</v>
      </c>
    </row>
    <row r="504" spans="1:7" ht="66" x14ac:dyDescent="0.25">
      <c r="A504" s="127" t="s">
        <v>689</v>
      </c>
      <c r="B504" s="82"/>
      <c r="C504" s="97" t="s">
        <v>688</v>
      </c>
      <c r="D504" s="41">
        <f>D505</f>
        <v>479.6</v>
      </c>
      <c r="E504" s="41">
        <f t="shared" ref="E504" si="144">E505</f>
        <v>448.4</v>
      </c>
      <c r="F504" s="93">
        <f t="shared" si="124"/>
        <v>93.5</v>
      </c>
    </row>
    <row r="505" spans="1:7" ht="39.6" x14ac:dyDescent="0.25">
      <c r="A505" s="127" t="s">
        <v>689</v>
      </c>
      <c r="B505" s="82" t="s">
        <v>205</v>
      </c>
      <c r="C505" s="97" t="s">
        <v>206</v>
      </c>
      <c r="D505" s="41">
        <v>479.6</v>
      </c>
      <c r="E505" s="41">
        <v>448.4</v>
      </c>
      <c r="F505" s="93">
        <f t="shared" si="124"/>
        <v>93.5</v>
      </c>
    </row>
    <row r="506" spans="1:7" ht="66" x14ac:dyDescent="0.25">
      <c r="A506" s="127">
        <v>1510319023</v>
      </c>
      <c r="B506" s="82"/>
      <c r="C506" s="97" t="s">
        <v>688</v>
      </c>
      <c r="D506" s="41">
        <f>D507</f>
        <v>1150.4000000000001</v>
      </c>
      <c r="E506" s="41">
        <f t="shared" ref="E506" si="145">E507</f>
        <v>1150.4000000000001</v>
      </c>
      <c r="F506" s="93">
        <f t="shared" si="124"/>
        <v>100</v>
      </c>
    </row>
    <row r="507" spans="1:7" ht="39.6" x14ac:dyDescent="0.25">
      <c r="A507" s="127">
        <v>1510319023</v>
      </c>
      <c r="B507" s="82" t="s">
        <v>205</v>
      </c>
      <c r="C507" s="97" t="s">
        <v>206</v>
      </c>
      <c r="D507" s="41">
        <f>1230.4-80</f>
        <v>1150.4000000000001</v>
      </c>
      <c r="E507" s="41">
        <v>1150.4000000000001</v>
      </c>
      <c r="F507" s="93">
        <f t="shared" si="124"/>
        <v>100</v>
      </c>
    </row>
    <row r="508" spans="1:7" ht="80.25" customHeight="1" x14ac:dyDescent="0.25">
      <c r="A508" s="73" t="s">
        <v>221</v>
      </c>
      <c r="B508" s="16"/>
      <c r="C508" s="64" t="s">
        <v>575</v>
      </c>
      <c r="D508" s="59">
        <f t="shared" ref="D508:E508" si="146">D509</f>
        <v>7998.6</v>
      </c>
      <c r="E508" s="59">
        <f t="shared" si="146"/>
        <v>7963.5</v>
      </c>
      <c r="F508" s="62">
        <f t="shared" si="124"/>
        <v>99.6</v>
      </c>
      <c r="G508" s="102"/>
    </row>
    <row r="509" spans="1:7" ht="39.6" x14ac:dyDescent="0.25">
      <c r="A509" s="52" t="s">
        <v>222</v>
      </c>
      <c r="B509" s="47"/>
      <c r="C509" s="48" t="s">
        <v>223</v>
      </c>
      <c r="D509" s="92">
        <f>D510+D523</f>
        <v>7998.6</v>
      </c>
      <c r="E509" s="92">
        <f>E510+E523</f>
        <v>7963.5</v>
      </c>
      <c r="F509" s="58">
        <f t="shared" ref="F509:F572" si="147">ROUND((E509/D509*100),1)</f>
        <v>99.6</v>
      </c>
      <c r="G509" s="102"/>
    </row>
    <row r="510" spans="1:7" ht="39.6" x14ac:dyDescent="0.25">
      <c r="A510" s="21" t="s">
        <v>224</v>
      </c>
      <c r="B510" s="82"/>
      <c r="C510" s="97" t="s">
        <v>225</v>
      </c>
      <c r="D510" s="41">
        <f>D511+D513+D515+D517+D519+D521</f>
        <v>4926.5</v>
      </c>
      <c r="E510" s="41">
        <f>E511+E513+E515+E517+E519+E521</f>
        <v>4891.5</v>
      </c>
      <c r="F510" s="93">
        <f t="shared" si="147"/>
        <v>99.3</v>
      </c>
      <c r="G510" s="102"/>
    </row>
    <row r="511" spans="1:7" ht="39.6" x14ac:dyDescent="0.25">
      <c r="A511" s="21" t="s">
        <v>523</v>
      </c>
      <c r="B511" s="82"/>
      <c r="C511" s="97" t="s">
        <v>337</v>
      </c>
      <c r="D511" s="41">
        <f>D512</f>
        <v>2442.6999999999998</v>
      </c>
      <c r="E511" s="41">
        <f>E512</f>
        <v>2442.6999999999998</v>
      </c>
      <c r="F511" s="93">
        <f t="shared" si="147"/>
        <v>100</v>
      </c>
      <c r="G511" s="102"/>
    </row>
    <row r="512" spans="1:7" ht="39.6" x14ac:dyDescent="0.25">
      <c r="A512" s="21" t="s">
        <v>523</v>
      </c>
      <c r="B512" s="82" t="s">
        <v>205</v>
      </c>
      <c r="C512" s="97" t="s">
        <v>206</v>
      </c>
      <c r="D512" s="41">
        <f>2972.1-529.4</f>
        <v>2442.6999999999998</v>
      </c>
      <c r="E512" s="41">
        <v>2442.6999999999998</v>
      </c>
      <c r="F512" s="93">
        <f t="shared" si="147"/>
        <v>100</v>
      </c>
    </row>
    <row r="513" spans="1:6" ht="26.25" customHeight="1" x14ac:dyDescent="0.25">
      <c r="A513" s="21" t="s">
        <v>525</v>
      </c>
      <c r="B513" s="82"/>
      <c r="C513" s="97" t="s">
        <v>524</v>
      </c>
      <c r="D513" s="41">
        <f>D514</f>
        <v>529.4</v>
      </c>
      <c r="E513" s="41">
        <f>E514</f>
        <v>529.4</v>
      </c>
      <c r="F513" s="93">
        <f t="shared" si="147"/>
        <v>100</v>
      </c>
    </row>
    <row r="514" spans="1:6" ht="39.6" x14ac:dyDescent="0.25">
      <c r="A514" s="21" t="s">
        <v>525</v>
      </c>
      <c r="B514" s="82" t="s">
        <v>205</v>
      </c>
      <c r="C514" s="97" t="s">
        <v>206</v>
      </c>
      <c r="D514" s="41">
        <v>529.4</v>
      </c>
      <c r="E514" s="41">
        <v>529.4</v>
      </c>
      <c r="F514" s="93">
        <f t="shared" si="147"/>
        <v>100</v>
      </c>
    </row>
    <row r="515" spans="1:6" x14ac:dyDescent="0.25">
      <c r="A515" s="21" t="s">
        <v>526</v>
      </c>
      <c r="B515" s="16"/>
      <c r="C515" s="97" t="s">
        <v>326</v>
      </c>
      <c r="D515" s="41">
        <f>D516</f>
        <v>385</v>
      </c>
      <c r="E515" s="41">
        <f>E516</f>
        <v>350</v>
      </c>
      <c r="F515" s="93">
        <f t="shared" si="147"/>
        <v>90.9</v>
      </c>
    </row>
    <row r="516" spans="1:6" ht="39.6" x14ac:dyDescent="0.25">
      <c r="A516" s="21" t="s">
        <v>526</v>
      </c>
      <c r="B516" s="82" t="s">
        <v>205</v>
      </c>
      <c r="C516" s="97" t="s">
        <v>206</v>
      </c>
      <c r="D516" s="41">
        <f>370+31-16</f>
        <v>385</v>
      </c>
      <c r="E516" s="41">
        <v>350</v>
      </c>
      <c r="F516" s="93">
        <f t="shared" si="147"/>
        <v>90.9</v>
      </c>
    </row>
    <row r="517" spans="1:6" ht="41.25" customHeight="1" x14ac:dyDescent="0.25">
      <c r="A517" s="21" t="s">
        <v>585</v>
      </c>
      <c r="B517" s="82"/>
      <c r="C517" s="97" t="s">
        <v>584</v>
      </c>
      <c r="D517" s="41">
        <f>D518</f>
        <v>178</v>
      </c>
      <c r="E517" s="41">
        <f t="shared" ref="E517" si="148">E518</f>
        <v>178</v>
      </c>
      <c r="F517" s="93">
        <f t="shared" si="147"/>
        <v>100</v>
      </c>
    </row>
    <row r="518" spans="1:6" ht="39.6" x14ac:dyDescent="0.25">
      <c r="A518" s="21" t="s">
        <v>585</v>
      </c>
      <c r="B518" s="82" t="s">
        <v>205</v>
      </c>
      <c r="C518" s="97" t="s">
        <v>206</v>
      </c>
      <c r="D518" s="41">
        <v>178</v>
      </c>
      <c r="E518" s="41">
        <v>178</v>
      </c>
      <c r="F518" s="93">
        <f t="shared" si="147"/>
        <v>100</v>
      </c>
    </row>
    <row r="519" spans="1:6" ht="27.75" customHeight="1" x14ac:dyDescent="0.25">
      <c r="A519" s="21" t="s">
        <v>587</v>
      </c>
      <c r="B519" s="82"/>
      <c r="C519" s="97" t="s">
        <v>588</v>
      </c>
      <c r="D519" s="41">
        <f>D520</f>
        <v>892.4</v>
      </c>
      <c r="E519" s="41">
        <f t="shared" ref="E519" si="149">E520</f>
        <v>892.4</v>
      </c>
      <c r="F519" s="93">
        <f t="shared" si="147"/>
        <v>100</v>
      </c>
    </row>
    <row r="520" spans="1:6" ht="39.6" x14ac:dyDescent="0.25">
      <c r="A520" s="21" t="s">
        <v>587</v>
      </c>
      <c r="B520" s="82" t="s">
        <v>205</v>
      </c>
      <c r="C520" s="97" t="s">
        <v>206</v>
      </c>
      <c r="D520" s="41">
        <f>990-45.4-52.2</f>
        <v>892.4</v>
      </c>
      <c r="E520" s="41">
        <v>892.4</v>
      </c>
      <c r="F520" s="93">
        <f t="shared" si="147"/>
        <v>100</v>
      </c>
    </row>
    <row r="521" spans="1:6" x14ac:dyDescent="0.25">
      <c r="A521" s="21" t="s">
        <v>633</v>
      </c>
      <c r="B521" s="82"/>
      <c r="C521" s="97" t="s">
        <v>586</v>
      </c>
      <c r="D521" s="41">
        <f>D522</f>
        <v>499</v>
      </c>
      <c r="E521" s="41">
        <f t="shared" ref="E521" si="150">E522</f>
        <v>499</v>
      </c>
      <c r="F521" s="93">
        <f t="shared" si="147"/>
        <v>100</v>
      </c>
    </row>
    <row r="522" spans="1:6" ht="39.6" x14ac:dyDescent="0.25">
      <c r="A522" s="21" t="s">
        <v>633</v>
      </c>
      <c r="B522" s="82" t="s">
        <v>205</v>
      </c>
      <c r="C522" s="97" t="s">
        <v>206</v>
      </c>
      <c r="D522" s="41">
        <f>600-98.6-2.4</f>
        <v>499</v>
      </c>
      <c r="E522" s="41">
        <v>499</v>
      </c>
      <c r="F522" s="93">
        <f t="shared" si="147"/>
        <v>100</v>
      </c>
    </row>
    <row r="523" spans="1:6" ht="53.25" customHeight="1" x14ac:dyDescent="0.25">
      <c r="A523" s="51" t="s">
        <v>521</v>
      </c>
      <c r="B523" s="82"/>
      <c r="C523" s="97" t="s">
        <v>522</v>
      </c>
      <c r="D523" s="41">
        <f>D524+D526</f>
        <v>3072.1</v>
      </c>
      <c r="E523" s="41">
        <f t="shared" ref="E523" si="151">E524+E526</f>
        <v>3072</v>
      </c>
      <c r="F523" s="93">
        <f t="shared" si="147"/>
        <v>100</v>
      </c>
    </row>
    <row r="524" spans="1:6" ht="39.6" x14ac:dyDescent="0.25">
      <c r="A524" s="51" t="s">
        <v>351</v>
      </c>
      <c r="B524" s="82"/>
      <c r="C524" s="97" t="s">
        <v>348</v>
      </c>
      <c r="D524" s="41">
        <f>D525</f>
        <v>307.2</v>
      </c>
      <c r="E524" s="41">
        <f>E525</f>
        <v>307.2</v>
      </c>
      <c r="F524" s="93">
        <f t="shared" si="147"/>
        <v>100</v>
      </c>
    </row>
    <row r="525" spans="1:6" ht="39.6" x14ac:dyDescent="0.25">
      <c r="A525" s="51" t="s">
        <v>351</v>
      </c>
      <c r="B525" s="82" t="s">
        <v>205</v>
      </c>
      <c r="C525" s="97" t="s">
        <v>206</v>
      </c>
      <c r="D525" s="39">
        <f>891.9-495.5-89.2</f>
        <v>307.2</v>
      </c>
      <c r="E525" s="39">
        <v>307.2</v>
      </c>
      <c r="F525" s="93">
        <f t="shared" si="147"/>
        <v>100</v>
      </c>
    </row>
    <row r="526" spans="1:6" ht="52.8" x14ac:dyDescent="0.25">
      <c r="A526" s="51" t="s">
        <v>352</v>
      </c>
      <c r="B526" s="82"/>
      <c r="C526" s="97" t="s">
        <v>346</v>
      </c>
      <c r="D526" s="41">
        <f>D527</f>
        <v>2764.9</v>
      </c>
      <c r="E526" s="41">
        <f>E527</f>
        <v>2764.8</v>
      </c>
      <c r="F526" s="93">
        <f t="shared" si="147"/>
        <v>100</v>
      </c>
    </row>
    <row r="527" spans="1:6" ht="39.6" x14ac:dyDescent="0.25">
      <c r="A527" s="51" t="s">
        <v>352</v>
      </c>
      <c r="B527" s="82" t="s">
        <v>205</v>
      </c>
      <c r="C527" s="97" t="s">
        <v>206</v>
      </c>
      <c r="D527" s="41">
        <f>3567.5-802.6</f>
        <v>2764.9</v>
      </c>
      <c r="E527" s="41">
        <v>2764.8</v>
      </c>
      <c r="F527" s="93">
        <f t="shared" si="147"/>
        <v>100</v>
      </c>
    </row>
    <row r="528" spans="1:6" ht="26.4" x14ac:dyDescent="0.25">
      <c r="A528" s="83">
        <v>9900000000</v>
      </c>
      <c r="B528" s="73"/>
      <c r="C528" s="120" t="s">
        <v>140</v>
      </c>
      <c r="D528" s="95">
        <f>D529+D532+D544+D555+D569+D579</f>
        <v>122398.99999999999</v>
      </c>
      <c r="E528" s="95">
        <f>E529+E532+E544+E555+E569+E579</f>
        <v>118713.09999999999</v>
      </c>
      <c r="F528" s="62">
        <f t="shared" si="147"/>
        <v>97</v>
      </c>
    </row>
    <row r="529" spans="1:9" x14ac:dyDescent="0.25">
      <c r="A529" s="79">
        <v>9920000000</v>
      </c>
      <c r="B529" s="73"/>
      <c r="C529" s="124" t="s">
        <v>5</v>
      </c>
      <c r="D529" s="39">
        <f t="shared" ref="D529:E529" si="152">D530</f>
        <v>300</v>
      </c>
      <c r="E529" s="39">
        <f t="shared" si="152"/>
        <v>50</v>
      </c>
      <c r="F529" s="58">
        <f t="shared" si="147"/>
        <v>16.7</v>
      </c>
    </row>
    <row r="530" spans="1:9" ht="16.5" customHeight="1" x14ac:dyDescent="0.25">
      <c r="A530" s="79">
        <v>9920026100</v>
      </c>
      <c r="B530" s="21"/>
      <c r="C530" s="98" t="s">
        <v>11</v>
      </c>
      <c r="D530" s="39">
        <f>SUM(D531:D531)</f>
        <v>300</v>
      </c>
      <c r="E530" s="39">
        <f>SUM(E531:E531)</f>
        <v>50</v>
      </c>
      <c r="F530" s="93">
        <f t="shared" si="147"/>
        <v>16.7</v>
      </c>
    </row>
    <row r="531" spans="1:9" x14ac:dyDescent="0.25">
      <c r="A531" s="79">
        <v>9920026100</v>
      </c>
      <c r="B531" s="16" t="s">
        <v>84</v>
      </c>
      <c r="C531" s="97" t="s">
        <v>85</v>
      </c>
      <c r="D531" s="39">
        <f>500+100-300</f>
        <v>300</v>
      </c>
      <c r="E531" s="39">
        <v>50</v>
      </c>
      <c r="F531" s="93">
        <f t="shared" si="147"/>
        <v>16.7</v>
      </c>
    </row>
    <row r="532" spans="1:9" ht="26.4" x14ac:dyDescent="0.25">
      <c r="A532" s="79">
        <v>9930000000</v>
      </c>
      <c r="B532" s="16"/>
      <c r="C532" s="22" t="s">
        <v>41</v>
      </c>
      <c r="D532" s="39">
        <f>D533+D536+D539+D541</f>
        <v>1866.3000000000002</v>
      </c>
      <c r="E532" s="39">
        <f t="shared" ref="E532" si="153">E533+E536+E539+E541</f>
        <v>1843.5</v>
      </c>
      <c r="F532" s="93">
        <f t="shared" si="147"/>
        <v>98.8</v>
      </c>
    </row>
    <row r="533" spans="1:9" ht="66" x14ac:dyDescent="0.25">
      <c r="A533" s="79">
        <v>9930010510</v>
      </c>
      <c r="B533" s="16"/>
      <c r="C533" s="98" t="s">
        <v>15</v>
      </c>
      <c r="D533" s="39">
        <f>D534+D535</f>
        <v>422.6</v>
      </c>
      <c r="E533" s="39">
        <f>E534+E535</f>
        <v>412.7</v>
      </c>
      <c r="F533" s="93">
        <f t="shared" si="147"/>
        <v>97.7</v>
      </c>
    </row>
    <row r="534" spans="1:9" ht="26.4" x14ac:dyDescent="0.25">
      <c r="A534" s="79">
        <v>9930010510</v>
      </c>
      <c r="B534" s="16" t="s">
        <v>63</v>
      </c>
      <c r="C534" s="101" t="s">
        <v>64</v>
      </c>
      <c r="D534" s="39">
        <v>397.3</v>
      </c>
      <c r="E534" s="39">
        <v>393.4</v>
      </c>
      <c r="F534" s="93">
        <f t="shared" si="147"/>
        <v>99</v>
      </c>
    </row>
    <row r="535" spans="1:9" ht="39.6" x14ac:dyDescent="0.25">
      <c r="A535" s="79">
        <v>9930010510</v>
      </c>
      <c r="B535" s="82" t="s">
        <v>205</v>
      </c>
      <c r="C535" s="97" t="s">
        <v>206</v>
      </c>
      <c r="D535" s="39">
        <v>25.3</v>
      </c>
      <c r="E535" s="39">
        <v>19.3</v>
      </c>
      <c r="F535" s="93">
        <f t="shared" si="147"/>
        <v>76.3</v>
      </c>
    </row>
    <row r="536" spans="1:9" ht="39.6" x14ac:dyDescent="0.25">
      <c r="A536" s="79">
        <v>9930010540</v>
      </c>
      <c r="B536" s="16"/>
      <c r="C536" s="98" t="s">
        <v>16</v>
      </c>
      <c r="D536" s="39">
        <f>D537+D538</f>
        <v>239.6</v>
      </c>
      <c r="E536" s="39">
        <f>E537+E538</f>
        <v>226.7</v>
      </c>
      <c r="F536" s="93">
        <f t="shared" si="147"/>
        <v>94.6</v>
      </c>
    </row>
    <row r="537" spans="1:9" ht="26.4" x14ac:dyDescent="0.25">
      <c r="A537" s="79">
        <v>9930010540</v>
      </c>
      <c r="B537" s="16" t="s">
        <v>63</v>
      </c>
      <c r="C537" s="101" t="s">
        <v>64</v>
      </c>
      <c r="D537" s="39">
        <v>217.7</v>
      </c>
      <c r="E537" s="39">
        <v>207</v>
      </c>
      <c r="F537" s="93">
        <f t="shared" si="147"/>
        <v>95.1</v>
      </c>
    </row>
    <row r="538" spans="1:9" ht="39.6" x14ac:dyDescent="0.25">
      <c r="A538" s="79">
        <v>9930010540</v>
      </c>
      <c r="B538" s="82" t="s">
        <v>205</v>
      </c>
      <c r="C538" s="97" t="s">
        <v>206</v>
      </c>
      <c r="D538" s="39">
        <v>21.9</v>
      </c>
      <c r="E538" s="39">
        <v>19.7</v>
      </c>
      <c r="F538" s="93">
        <f t="shared" si="147"/>
        <v>90</v>
      </c>
    </row>
    <row r="539" spans="1:9" ht="66" x14ac:dyDescent="0.25">
      <c r="A539" s="79">
        <v>9930051200</v>
      </c>
      <c r="B539" s="72"/>
      <c r="C539" s="54" t="s">
        <v>275</v>
      </c>
      <c r="D539" s="106">
        <f t="shared" ref="D539:E539" si="154">D540</f>
        <v>2.1</v>
      </c>
      <c r="E539" s="106">
        <f t="shared" si="154"/>
        <v>2.1</v>
      </c>
      <c r="F539" s="93">
        <f t="shared" si="147"/>
        <v>100</v>
      </c>
    </row>
    <row r="540" spans="1:9" ht="39.6" x14ac:dyDescent="0.25">
      <c r="A540" s="79">
        <v>9930051200</v>
      </c>
      <c r="B540" s="82" t="s">
        <v>205</v>
      </c>
      <c r="C540" s="97" t="s">
        <v>206</v>
      </c>
      <c r="D540" s="106">
        <v>2.1</v>
      </c>
      <c r="E540" s="106">
        <v>2.1</v>
      </c>
      <c r="F540" s="93">
        <f t="shared" si="147"/>
        <v>100</v>
      </c>
    </row>
    <row r="541" spans="1:9" ht="38.25" customHeight="1" x14ac:dyDescent="0.25">
      <c r="A541" s="79">
        <v>9930059302</v>
      </c>
      <c r="B541" s="16"/>
      <c r="C541" s="98" t="s">
        <v>360</v>
      </c>
      <c r="D541" s="39">
        <f t="shared" ref="D541:E541" si="155">SUM(D542:D543)</f>
        <v>1202</v>
      </c>
      <c r="E541" s="39">
        <f t="shared" si="155"/>
        <v>1202</v>
      </c>
      <c r="F541" s="93">
        <f t="shared" si="147"/>
        <v>100</v>
      </c>
    </row>
    <row r="542" spans="1:9" ht="26.4" x14ac:dyDescent="0.25">
      <c r="A542" s="79">
        <v>9930059302</v>
      </c>
      <c r="B542" s="16" t="s">
        <v>63</v>
      </c>
      <c r="C542" s="55" t="s">
        <v>64</v>
      </c>
      <c r="D542" s="39">
        <f>1136.9+3</f>
        <v>1139.9000000000001</v>
      </c>
      <c r="E542" s="39">
        <v>1139.9000000000001</v>
      </c>
      <c r="F542" s="93">
        <f t="shared" si="147"/>
        <v>100</v>
      </c>
      <c r="I542" s="102"/>
    </row>
    <row r="543" spans="1:9" ht="39.6" x14ac:dyDescent="0.25">
      <c r="A543" s="79">
        <v>9930059302</v>
      </c>
      <c r="B543" s="82" t="s">
        <v>205</v>
      </c>
      <c r="C543" s="97" t="s">
        <v>206</v>
      </c>
      <c r="D543" s="39">
        <f>65.1-3</f>
        <v>62.099999999999994</v>
      </c>
      <c r="E543" s="39">
        <v>62.1</v>
      </c>
      <c r="F543" s="93">
        <f t="shared" si="147"/>
        <v>100</v>
      </c>
    </row>
    <row r="544" spans="1:9" ht="26.4" x14ac:dyDescent="0.25">
      <c r="A544" s="16" t="s">
        <v>25</v>
      </c>
      <c r="B544" s="16"/>
      <c r="C544" s="98" t="s">
        <v>39</v>
      </c>
      <c r="D544" s="39">
        <f>D545+D547+D551+D553</f>
        <v>5628.7</v>
      </c>
      <c r="E544" s="39">
        <f t="shared" ref="E544" si="156">E545+E547+E551+E553</f>
        <v>5370.2</v>
      </c>
      <c r="F544" s="93">
        <f t="shared" si="147"/>
        <v>95.4</v>
      </c>
    </row>
    <row r="545" spans="1:6" ht="39.6" x14ac:dyDescent="0.25">
      <c r="A545" s="82" t="s">
        <v>556</v>
      </c>
      <c r="B545" s="16"/>
      <c r="C545" s="54" t="s">
        <v>554</v>
      </c>
      <c r="D545" s="41">
        <f>SUM(D546:D546)</f>
        <v>510</v>
      </c>
      <c r="E545" s="41">
        <f>SUM(E546:E546)</f>
        <v>510</v>
      </c>
      <c r="F545" s="93">
        <f t="shared" si="147"/>
        <v>100</v>
      </c>
    </row>
    <row r="546" spans="1:6" x14ac:dyDescent="0.25">
      <c r="A546" s="82" t="s">
        <v>556</v>
      </c>
      <c r="B546" s="21" t="s">
        <v>219</v>
      </c>
      <c r="C546" s="97" t="s">
        <v>218</v>
      </c>
      <c r="D546" s="39">
        <f>45+70+150+195+50</f>
        <v>510</v>
      </c>
      <c r="E546" s="39">
        <f>115+150+195+50</f>
        <v>510</v>
      </c>
      <c r="F546" s="93">
        <f t="shared" si="147"/>
        <v>100</v>
      </c>
    </row>
    <row r="547" spans="1:6" ht="26.4" x14ac:dyDescent="0.25">
      <c r="A547" s="82" t="s">
        <v>527</v>
      </c>
      <c r="B547" s="16"/>
      <c r="C547" s="22" t="s">
        <v>40</v>
      </c>
      <c r="D547" s="39">
        <f>SUM(D548:D550)</f>
        <v>4803.7</v>
      </c>
      <c r="E547" s="39">
        <f>SUM(E548:E550)</f>
        <v>4595.2</v>
      </c>
      <c r="F547" s="93">
        <f t="shared" si="147"/>
        <v>95.7</v>
      </c>
    </row>
    <row r="548" spans="1:6" ht="39.6" x14ac:dyDescent="0.25">
      <c r="A548" s="82" t="s">
        <v>527</v>
      </c>
      <c r="B548" s="82" t="s">
        <v>205</v>
      </c>
      <c r="C548" s="97" t="s">
        <v>206</v>
      </c>
      <c r="D548" s="39">
        <f>242+70</f>
        <v>312</v>
      </c>
      <c r="E548" s="39">
        <v>240.3</v>
      </c>
      <c r="F548" s="93">
        <f t="shared" si="147"/>
        <v>77</v>
      </c>
    </row>
    <row r="549" spans="1:6" x14ac:dyDescent="0.25">
      <c r="A549" s="82" t="s">
        <v>527</v>
      </c>
      <c r="B549" s="16" t="s">
        <v>81</v>
      </c>
      <c r="C549" s="97" t="s">
        <v>82</v>
      </c>
      <c r="D549" s="39">
        <v>426</v>
      </c>
      <c r="E549" s="39">
        <v>306.2</v>
      </c>
      <c r="F549" s="93">
        <f t="shared" si="147"/>
        <v>71.900000000000006</v>
      </c>
    </row>
    <row r="550" spans="1:6" x14ac:dyDescent="0.25">
      <c r="A550" s="82" t="s">
        <v>527</v>
      </c>
      <c r="B550" s="82" t="s">
        <v>129</v>
      </c>
      <c r="C550" s="97" t="s">
        <v>130</v>
      </c>
      <c r="D550" s="39">
        <f>602+893.7+210+90+100+350+1700+120</f>
        <v>4065.7</v>
      </c>
      <c r="E550" s="39">
        <v>4048.7</v>
      </c>
      <c r="F550" s="93">
        <f t="shared" si="147"/>
        <v>99.6</v>
      </c>
    </row>
    <row r="551" spans="1:6" ht="26.4" x14ac:dyDescent="0.25">
      <c r="A551" s="141">
        <v>9940026500</v>
      </c>
      <c r="B551" s="1"/>
      <c r="C551" s="98" t="s">
        <v>592</v>
      </c>
      <c r="D551" s="39">
        <f>D552</f>
        <v>25</v>
      </c>
      <c r="E551" s="39">
        <f t="shared" ref="E551" si="157">E552</f>
        <v>25</v>
      </c>
      <c r="F551" s="93">
        <f t="shared" si="147"/>
        <v>100</v>
      </c>
    </row>
    <row r="552" spans="1:6" x14ac:dyDescent="0.25">
      <c r="A552" s="141">
        <v>9940026500</v>
      </c>
      <c r="B552" s="82" t="s">
        <v>593</v>
      </c>
      <c r="C552" s="1" t="s">
        <v>594</v>
      </c>
      <c r="D552" s="39">
        <f>20.8+4.2</f>
        <v>25</v>
      </c>
      <c r="E552" s="39">
        <f>20.8+4.2</f>
        <v>25</v>
      </c>
      <c r="F552" s="93">
        <f t="shared" si="147"/>
        <v>100</v>
      </c>
    </row>
    <row r="553" spans="1:6" ht="39.6" x14ac:dyDescent="0.25">
      <c r="A553" s="82" t="s">
        <v>555</v>
      </c>
      <c r="B553" s="16"/>
      <c r="C553" s="54" t="s">
        <v>554</v>
      </c>
      <c r="D553" s="41">
        <f>SUM(D554:D554)</f>
        <v>290</v>
      </c>
      <c r="E553" s="41">
        <f>SUM(E554:E554)</f>
        <v>240</v>
      </c>
      <c r="F553" s="93">
        <f t="shared" si="147"/>
        <v>82.8</v>
      </c>
    </row>
    <row r="554" spans="1:6" ht="39.6" x14ac:dyDescent="0.25">
      <c r="A554" s="82" t="s">
        <v>555</v>
      </c>
      <c r="B554" s="82" t="s">
        <v>205</v>
      </c>
      <c r="C554" s="97" t="s">
        <v>206</v>
      </c>
      <c r="D554" s="39">
        <f>50+240</f>
        <v>290</v>
      </c>
      <c r="E554" s="39">
        <v>240</v>
      </c>
      <c r="F554" s="93">
        <f t="shared" si="147"/>
        <v>82.8</v>
      </c>
    </row>
    <row r="555" spans="1:6" x14ac:dyDescent="0.25">
      <c r="A555" s="82" t="s">
        <v>188</v>
      </c>
      <c r="B555" s="82"/>
      <c r="C555" s="97" t="s">
        <v>279</v>
      </c>
      <c r="D555" s="39">
        <f>D556+D560+D563+D567</f>
        <v>42151.6</v>
      </c>
      <c r="E555" s="39">
        <f t="shared" ref="E555" si="158">E556+E560+E563+E567</f>
        <v>40137.699999999997</v>
      </c>
      <c r="F555" s="93">
        <f t="shared" si="147"/>
        <v>95.2</v>
      </c>
    </row>
    <row r="556" spans="1:6" ht="51" customHeight="1" x14ac:dyDescent="0.25">
      <c r="A556" s="21" t="s">
        <v>528</v>
      </c>
      <c r="B556" s="47"/>
      <c r="C556" s="54" t="s">
        <v>532</v>
      </c>
      <c r="D556" s="41">
        <f>SUM(D557:D559)</f>
        <v>6011.5</v>
      </c>
      <c r="E556" s="41">
        <f t="shared" ref="E556" si="159">SUM(E557:E559)</f>
        <v>5709.7</v>
      </c>
      <c r="F556" s="93">
        <f t="shared" si="147"/>
        <v>95</v>
      </c>
    </row>
    <row r="557" spans="1:6" ht="26.4" x14ac:dyDescent="0.25">
      <c r="A557" s="21" t="s">
        <v>528</v>
      </c>
      <c r="B557" s="16" t="s">
        <v>65</v>
      </c>
      <c r="C557" s="101" t="s">
        <v>128</v>
      </c>
      <c r="D557" s="41">
        <f>4638.4+525</f>
        <v>5163.3999999999996</v>
      </c>
      <c r="E557" s="41">
        <v>5033.5</v>
      </c>
      <c r="F557" s="93">
        <f t="shared" si="147"/>
        <v>97.5</v>
      </c>
    </row>
    <row r="558" spans="1:6" ht="39.6" x14ac:dyDescent="0.25">
      <c r="A558" s="21" t="s">
        <v>528</v>
      </c>
      <c r="B558" s="82" t="s">
        <v>205</v>
      </c>
      <c r="C558" s="97" t="s">
        <v>206</v>
      </c>
      <c r="D558" s="41">
        <v>843.1</v>
      </c>
      <c r="E558" s="41">
        <v>676.2</v>
      </c>
      <c r="F558" s="93">
        <f t="shared" si="147"/>
        <v>80.2</v>
      </c>
    </row>
    <row r="559" spans="1:6" x14ac:dyDescent="0.25">
      <c r="A559" s="21" t="s">
        <v>528</v>
      </c>
      <c r="B559" s="82" t="s">
        <v>129</v>
      </c>
      <c r="C559" s="97" t="s">
        <v>130</v>
      </c>
      <c r="D559" s="41">
        <v>5</v>
      </c>
      <c r="E559" s="41">
        <v>0</v>
      </c>
      <c r="F559" s="93">
        <f t="shared" si="147"/>
        <v>0</v>
      </c>
    </row>
    <row r="560" spans="1:6" ht="39.6" x14ac:dyDescent="0.25">
      <c r="A560" s="21" t="s">
        <v>529</v>
      </c>
      <c r="B560" s="47"/>
      <c r="C560" s="54" t="s">
        <v>278</v>
      </c>
      <c r="D560" s="41">
        <f>SUM(D561:D562)</f>
        <v>9986.7999999999993</v>
      </c>
      <c r="E560" s="41">
        <f>SUM(E561:E562)</f>
        <v>9981.3000000000011</v>
      </c>
      <c r="F560" s="93">
        <f t="shared" si="147"/>
        <v>99.9</v>
      </c>
    </row>
    <row r="561" spans="1:6" ht="26.4" x14ac:dyDescent="0.25">
      <c r="A561" s="21" t="s">
        <v>529</v>
      </c>
      <c r="B561" s="16" t="s">
        <v>65</v>
      </c>
      <c r="C561" s="101" t="s">
        <v>128</v>
      </c>
      <c r="D561" s="39">
        <f>9107.9+115.8</f>
        <v>9223.6999999999989</v>
      </c>
      <c r="E561" s="41">
        <v>9223.7000000000007</v>
      </c>
      <c r="F561" s="93">
        <f t="shared" si="147"/>
        <v>100</v>
      </c>
    </row>
    <row r="562" spans="1:6" ht="39.6" x14ac:dyDescent="0.25">
      <c r="A562" s="21" t="s">
        <v>529</v>
      </c>
      <c r="B562" s="82" t="s">
        <v>205</v>
      </c>
      <c r="C562" s="97" t="s">
        <v>206</v>
      </c>
      <c r="D562" s="41">
        <v>763.1</v>
      </c>
      <c r="E562" s="41">
        <v>757.6</v>
      </c>
      <c r="F562" s="93">
        <f t="shared" si="147"/>
        <v>99.3</v>
      </c>
    </row>
    <row r="563" spans="1:6" ht="48.75" customHeight="1" x14ac:dyDescent="0.25">
      <c r="A563" s="21" t="s">
        <v>531</v>
      </c>
      <c r="B563" s="47"/>
      <c r="C563" s="54" t="s">
        <v>530</v>
      </c>
      <c r="D563" s="41">
        <f>SUM(D564:D566)</f>
        <v>25838.999999999996</v>
      </c>
      <c r="E563" s="41">
        <f>SUM(E564:E566)</f>
        <v>24132.399999999998</v>
      </c>
      <c r="F563" s="93">
        <f t="shared" si="147"/>
        <v>93.4</v>
      </c>
    </row>
    <row r="564" spans="1:6" ht="26.4" x14ac:dyDescent="0.25">
      <c r="A564" s="21" t="s">
        <v>531</v>
      </c>
      <c r="B564" s="16" t="s">
        <v>65</v>
      </c>
      <c r="C564" s="101" t="s">
        <v>128</v>
      </c>
      <c r="D564" s="41">
        <f>9754.4+975.4-235</f>
        <v>10494.8</v>
      </c>
      <c r="E564" s="41">
        <v>10438.799999999999</v>
      </c>
      <c r="F564" s="93">
        <f t="shared" si="147"/>
        <v>99.5</v>
      </c>
    </row>
    <row r="565" spans="1:6" ht="39.6" x14ac:dyDescent="0.25">
      <c r="A565" s="21" t="s">
        <v>531</v>
      </c>
      <c r="B565" s="82" t="s">
        <v>205</v>
      </c>
      <c r="C565" s="97" t="s">
        <v>206</v>
      </c>
      <c r="D565" s="41">
        <v>15223.4</v>
      </c>
      <c r="E565" s="41">
        <v>13619.9</v>
      </c>
      <c r="F565" s="93">
        <f t="shared" si="147"/>
        <v>89.5</v>
      </c>
    </row>
    <row r="566" spans="1:6" x14ac:dyDescent="0.25">
      <c r="A566" s="21" t="s">
        <v>531</v>
      </c>
      <c r="B566" s="82" t="s">
        <v>129</v>
      </c>
      <c r="C566" s="97" t="s">
        <v>130</v>
      </c>
      <c r="D566" s="106">
        <v>120.8</v>
      </c>
      <c r="E566" s="106">
        <v>73.7</v>
      </c>
      <c r="F566" s="93">
        <f t="shared" si="147"/>
        <v>61</v>
      </c>
    </row>
    <row r="567" spans="1:6" s="174" customFormat="1" ht="66" x14ac:dyDescent="0.25">
      <c r="A567" s="21" t="s">
        <v>715</v>
      </c>
      <c r="B567" s="82"/>
      <c r="C567" s="172" t="s">
        <v>714</v>
      </c>
      <c r="D567" s="106">
        <f>D568</f>
        <v>314.3</v>
      </c>
      <c r="E567" s="106">
        <f t="shared" ref="E567" si="160">E568</f>
        <v>314.3</v>
      </c>
      <c r="F567" s="93">
        <f t="shared" si="147"/>
        <v>100</v>
      </c>
    </row>
    <row r="568" spans="1:6" s="174" customFormat="1" ht="26.4" x14ac:dyDescent="0.25">
      <c r="A568" s="21" t="s">
        <v>715</v>
      </c>
      <c r="B568" s="16" t="s">
        <v>65</v>
      </c>
      <c r="C568" s="101" t="s">
        <v>128</v>
      </c>
      <c r="D568" s="106">
        <f>254.4+59.9</f>
        <v>314.3</v>
      </c>
      <c r="E568" s="106">
        <v>314.3</v>
      </c>
      <c r="F568" s="93">
        <f t="shared" si="147"/>
        <v>100</v>
      </c>
    </row>
    <row r="569" spans="1:6" ht="39.6" x14ac:dyDescent="0.25">
      <c r="A569" s="104">
        <v>9980000000</v>
      </c>
      <c r="B569" s="105"/>
      <c r="C569" s="97" t="s">
        <v>30</v>
      </c>
      <c r="D569" s="106">
        <f>D570+D572+D577</f>
        <v>66396.599999999991</v>
      </c>
      <c r="E569" s="106">
        <f>E570+E572+E577</f>
        <v>65454.3</v>
      </c>
      <c r="F569" s="93">
        <f t="shared" si="147"/>
        <v>98.6</v>
      </c>
    </row>
    <row r="570" spans="1:6" x14ac:dyDescent="0.25">
      <c r="A570" s="79">
        <v>9980022100</v>
      </c>
      <c r="B570" s="16"/>
      <c r="C570" s="22" t="s">
        <v>113</v>
      </c>
      <c r="D570" s="39">
        <f>D571</f>
        <v>2367.1</v>
      </c>
      <c r="E570" s="39">
        <f t="shared" ref="E570" si="161">E571</f>
        <v>2336.5</v>
      </c>
      <c r="F570" s="93">
        <f t="shared" si="147"/>
        <v>98.7</v>
      </c>
    </row>
    <row r="571" spans="1:6" ht="26.4" x14ac:dyDescent="0.25">
      <c r="A571" s="79">
        <v>9980022100</v>
      </c>
      <c r="B571" s="16" t="s">
        <v>63</v>
      </c>
      <c r="C571" s="98" t="s">
        <v>78</v>
      </c>
      <c r="D571" s="39">
        <f>1717-118.6+439.5+171.7+157.5-439.5-171.7+171.7+439.5</f>
        <v>2367.1</v>
      </c>
      <c r="E571" s="39">
        <v>2336.5</v>
      </c>
      <c r="F571" s="93">
        <f t="shared" si="147"/>
        <v>98.7</v>
      </c>
    </row>
    <row r="572" spans="1:6" x14ac:dyDescent="0.25">
      <c r="A572" s="136">
        <v>9980022200</v>
      </c>
      <c r="B572" s="21"/>
      <c r="C572" s="22" t="s">
        <v>114</v>
      </c>
      <c r="D572" s="39">
        <f>SUM(D573:D576)</f>
        <v>62912.499999999993</v>
      </c>
      <c r="E572" s="39">
        <f t="shared" ref="E572" si="162">SUM(E573:E576)</f>
        <v>62000.800000000003</v>
      </c>
      <c r="F572" s="93">
        <f t="shared" si="147"/>
        <v>98.6</v>
      </c>
    </row>
    <row r="573" spans="1:6" ht="26.4" x14ac:dyDescent="0.25">
      <c r="A573" s="136">
        <v>9980022200</v>
      </c>
      <c r="B573" s="16" t="s">
        <v>63</v>
      </c>
      <c r="C573" s="55" t="s">
        <v>64</v>
      </c>
      <c r="D573" s="39">
        <f>9404.1+44902+375.4+64.1+940.4+4548.2-375.4+383-64.1+56.5-100-350+48.6-120-463.3+99+81+400+39.5</f>
        <v>59868.999999999993</v>
      </c>
      <c r="E573" s="39">
        <f>10669.1+48733.3</f>
        <v>59402.400000000001</v>
      </c>
      <c r="F573" s="93">
        <f t="shared" ref="F573:F589" si="163">ROUND((E573/D573*100),1)</f>
        <v>99.2</v>
      </c>
    </row>
    <row r="574" spans="1:6" ht="39.6" x14ac:dyDescent="0.25">
      <c r="A574" s="136">
        <v>9980022200</v>
      </c>
      <c r="B574" s="82" t="s">
        <v>205</v>
      </c>
      <c r="C574" s="97" t="s">
        <v>206</v>
      </c>
      <c r="D574" s="39">
        <f>468.9+2929.4-90-80.4-70-3-48.6-81</f>
        <v>3025.3</v>
      </c>
      <c r="E574" s="39">
        <f>335.8+2259.6</f>
        <v>2595.4</v>
      </c>
      <c r="F574" s="93">
        <f t="shared" si="163"/>
        <v>85.8</v>
      </c>
    </row>
    <row r="575" spans="1:6" x14ac:dyDescent="0.25">
      <c r="A575" s="136">
        <v>9980022200</v>
      </c>
      <c r="B575" s="82" t="s">
        <v>652</v>
      </c>
      <c r="C575" s="97" t="s">
        <v>653</v>
      </c>
      <c r="D575" s="39">
        <v>3</v>
      </c>
      <c r="E575" s="39">
        <v>3</v>
      </c>
      <c r="F575" s="93">
        <f t="shared" si="163"/>
        <v>100</v>
      </c>
    </row>
    <row r="576" spans="1:6" x14ac:dyDescent="0.25">
      <c r="A576" s="136">
        <v>9980022200</v>
      </c>
      <c r="B576" s="82" t="s">
        <v>129</v>
      </c>
      <c r="C576" s="97" t="s">
        <v>130</v>
      </c>
      <c r="D576" s="41">
        <f>44.4-29.2</f>
        <v>15.2</v>
      </c>
      <c r="E576" s="41">
        <v>0</v>
      </c>
      <c r="F576" s="93">
        <f t="shared" si="163"/>
        <v>0</v>
      </c>
    </row>
    <row r="577" spans="1:6" s="174" customFormat="1" ht="66" x14ac:dyDescent="0.25">
      <c r="A577" s="173">
        <v>9980055492</v>
      </c>
      <c r="B577" s="82"/>
      <c r="C577" s="172" t="s">
        <v>714</v>
      </c>
      <c r="D577" s="41">
        <f>D578</f>
        <v>1117</v>
      </c>
      <c r="E577" s="41">
        <f t="shared" ref="E577" si="164">E578</f>
        <v>1117</v>
      </c>
      <c r="F577" s="93">
        <f t="shared" si="163"/>
        <v>100</v>
      </c>
    </row>
    <row r="578" spans="1:6" s="174" customFormat="1" ht="26.4" x14ac:dyDescent="0.25">
      <c r="A578" s="173">
        <v>9980055492</v>
      </c>
      <c r="B578" s="16" t="s">
        <v>63</v>
      </c>
      <c r="C578" s="172" t="s">
        <v>78</v>
      </c>
      <c r="D578" s="41">
        <f>907.5+209.5</f>
        <v>1117</v>
      </c>
      <c r="E578" s="41">
        <f>209.5+907.5</f>
        <v>1117</v>
      </c>
      <c r="F578" s="93">
        <f t="shared" si="163"/>
        <v>100</v>
      </c>
    </row>
    <row r="579" spans="1:6" s="32" customFormat="1" ht="39.6" x14ac:dyDescent="0.3">
      <c r="A579" s="79">
        <v>9990000000</v>
      </c>
      <c r="B579" s="16"/>
      <c r="C579" s="54" t="s">
        <v>29</v>
      </c>
      <c r="D579" s="41">
        <f>D580+D582+D585+D588</f>
        <v>6055.8</v>
      </c>
      <c r="E579" s="41">
        <f t="shared" ref="E579" si="165">E580+E582+E585+E588</f>
        <v>5857.4000000000005</v>
      </c>
      <c r="F579" s="93">
        <f t="shared" si="163"/>
        <v>96.7</v>
      </c>
    </row>
    <row r="580" spans="1:6" s="32" customFormat="1" ht="14.4" x14ac:dyDescent="0.3">
      <c r="A580" s="79">
        <v>9990022400</v>
      </c>
      <c r="B580" s="16"/>
      <c r="C580" s="97" t="s">
        <v>136</v>
      </c>
      <c r="D580" s="41">
        <f t="shared" ref="D580:E580" si="166">D581</f>
        <v>1522.8</v>
      </c>
      <c r="E580" s="41">
        <f t="shared" si="166"/>
        <v>1499.2</v>
      </c>
      <c r="F580" s="93">
        <f t="shared" si="163"/>
        <v>98.5</v>
      </c>
    </row>
    <row r="581" spans="1:6" s="32" customFormat="1" ht="26.4" x14ac:dyDescent="0.3">
      <c r="A581" s="79">
        <v>9990022400</v>
      </c>
      <c r="B581" s="16" t="s">
        <v>63</v>
      </c>
      <c r="C581" s="55" t="s">
        <v>64</v>
      </c>
      <c r="D581" s="39">
        <f>1365.9+136.6+20.3-156.9+156.9</f>
        <v>1522.8</v>
      </c>
      <c r="E581" s="39">
        <v>1499.2</v>
      </c>
      <c r="F581" s="93">
        <f t="shared" si="163"/>
        <v>98.5</v>
      </c>
    </row>
    <row r="582" spans="1:6" s="32" customFormat="1" ht="27" x14ac:dyDescent="0.3">
      <c r="A582" s="79">
        <v>9990022500</v>
      </c>
      <c r="B582" s="21"/>
      <c r="C582" s="98" t="s">
        <v>576</v>
      </c>
      <c r="D582" s="41">
        <f>SUM(D583:D584)</f>
        <v>2617.8000000000002</v>
      </c>
      <c r="E582" s="41">
        <f t="shared" ref="E582" si="167">SUM(E583:E584)</f>
        <v>2543.2999999999997</v>
      </c>
      <c r="F582" s="93">
        <f t="shared" si="163"/>
        <v>97.2</v>
      </c>
    </row>
    <row r="583" spans="1:6" s="32" customFormat="1" ht="26.4" x14ac:dyDescent="0.3">
      <c r="A583" s="79">
        <v>9990022500</v>
      </c>
      <c r="B583" s="16" t="s">
        <v>63</v>
      </c>
      <c r="C583" s="55" t="s">
        <v>64</v>
      </c>
      <c r="D583" s="39">
        <f>2356.8+154.9</f>
        <v>2511.7000000000003</v>
      </c>
      <c r="E583" s="39">
        <v>2449.1999999999998</v>
      </c>
      <c r="F583" s="93">
        <f t="shared" si="163"/>
        <v>97.5</v>
      </c>
    </row>
    <row r="584" spans="1:6" s="32" customFormat="1" ht="39.6" x14ac:dyDescent="0.3">
      <c r="A584" s="79">
        <v>9990022500</v>
      </c>
      <c r="B584" s="82" t="s">
        <v>205</v>
      </c>
      <c r="C584" s="97" t="s">
        <v>206</v>
      </c>
      <c r="D584" s="39">
        <v>106.1</v>
      </c>
      <c r="E584" s="39">
        <v>94.1</v>
      </c>
      <c r="F584" s="93">
        <f t="shared" si="163"/>
        <v>88.7</v>
      </c>
    </row>
    <row r="585" spans="1:6" s="32" customFormat="1" ht="27" x14ac:dyDescent="0.3">
      <c r="A585" s="79">
        <v>9990022300</v>
      </c>
      <c r="B585" s="21"/>
      <c r="C585" s="98" t="s">
        <v>194</v>
      </c>
      <c r="D585" s="41">
        <f>D586+D587</f>
        <v>1840.4</v>
      </c>
      <c r="E585" s="41">
        <f>E586+E587</f>
        <v>1740.1</v>
      </c>
      <c r="F585" s="93">
        <f t="shared" si="163"/>
        <v>94.6</v>
      </c>
    </row>
    <row r="586" spans="1:6" s="32" customFormat="1" ht="27" x14ac:dyDescent="0.3">
      <c r="A586" s="79">
        <v>9990022300</v>
      </c>
      <c r="B586" s="16" t="s">
        <v>63</v>
      </c>
      <c r="C586" s="98" t="s">
        <v>78</v>
      </c>
      <c r="D586" s="39">
        <f>1668.4+164.2+16.3-109.5+109.5-12-17.8</f>
        <v>1819.1000000000001</v>
      </c>
      <c r="E586" s="39">
        <v>1718.8</v>
      </c>
      <c r="F586" s="93">
        <f t="shared" si="163"/>
        <v>94.5</v>
      </c>
    </row>
    <row r="587" spans="1:6" s="32" customFormat="1" ht="39.6" x14ac:dyDescent="0.3">
      <c r="A587" s="79">
        <v>9990022300</v>
      </c>
      <c r="B587" s="82" t="s">
        <v>205</v>
      </c>
      <c r="C587" s="97" t="s">
        <v>206</v>
      </c>
      <c r="D587" s="39">
        <f>3.5+17.8</f>
        <v>21.3</v>
      </c>
      <c r="E587" s="39">
        <v>21.3</v>
      </c>
      <c r="F587" s="93">
        <f t="shared" si="163"/>
        <v>100</v>
      </c>
    </row>
    <row r="588" spans="1:6" ht="66" x14ac:dyDescent="0.25">
      <c r="A588" s="173">
        <v>9990055492</v>
      </c>
      <c r="B588" s="82"/>
      <c r="C588" s="172" t="s">
        <v>714</v>
      </c>
      <c r="D588" s="41">
        <f>D589</f>
        <v>74.8</v>
      </c>
      <c r="E588" s="41">
        <f t="shared" ref="E588" si="168">E589</f>
        <v>74.8</v>
      </c>
      <c r="F588" s="93">
        <f t="shared" si="163"/>
        <v>100</v>
      </c>
    </row>
    <row r="589" spans="1:6" ht="26.4" x14ac:dyDescent="0.25">
      <c r="A589" s="173">
        <v>9990055492</v>
      </c>
      <c r="B589" s="16" t="s">
        <v>63</v>
      </c>
      <c r="C589" s="172" t="s">
        <v>78</v>
      </c>
      <c r="D589" s="41">
        <f>44.9+29.9</f>
        <v>74.8</v>
      </c>
      <c r="E589" s="41">
        <f>44.9+29.9</f>
        <v>74.8</v>
      </c>
      <c r="F589" s="93">
        <f t="shared" si="163"/>
        <v>100</v>
      </c>
    </row>
  </sheetData>
  <mergeCells count="6">
    <mergeCell ref="A7:F7"/>
    <mergeCell ref="B10:B11"/>
    <mergeCell ref="A10:A11"/>
    <mergeCell ref="C10:C11"/>
    <mergeCell ref="D10:E10"/>
    <mergeCell ref="F10:F11"/>
  </mergeCells>
  <phoneticPr fontId="2" type="noConversion"/>
  <pageMargins left="0.75" right="0.75" top="0.81" bottom="0.71" header="0.5" footer="0.5"/>
  <pageSetup paperSize="9" orientation="portrait"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N8" sqref="N8"/>
    </sheetView>
  </sheetViews>
  <sheetFormatPr defaultColWidth="9.109375" defaultRowHeight="13.2" x14ac:dyDescent="0.25"/>
  <cols>
    <col min="1" max="1" width="14.5546875" style="181" customWidth="1"/>
    <col min="2" max="2" width="2.6640625" style="181" customWidth="1"/>
    <col min="3" max="3" width="9" style="181" customWidth="1"/>
    <col min="4" max="4" width="9.88671875" style="181" customWidth="1"/>
    <col min="5" max="5" width="4" style="181" customWidth="1"/>
    <col min="6" max="6" width="13.44140625" style="181" customWidth="1"/>
    <col min="7" max="7" width="5" style="181" customWidth="1"/>
    <col min="8" max="8" width="10.88671875" style="181" customWidth="1"/>
    <col min="9" max="9" width="6.5546875" style="181" customWidth="1"/>
    <col min="10" max="10" width="6.6640625" style="181" customWidth="1"/>
    <col min="11" max="11" width="6.5546875" style="181" customWidth="1"/>
    <col min="12" max="16384" width="9.109375" style="181"/>
  </cols>
  <sheetData>
    <row r="1" spans="1:11" x14ac:dyDescent="0.25">
      <c r="B1" s="189" t="s">
        <v>729</v>
      </c>
      <c r="C1" s="190"/>
      <c r="D1" s="125" t="s">
        <v>809</v>
      </c>
      <c r="E1" s="190"/>
      <c r="F1" s="190"/>
      <c r="G1" s="190"/>
      <c r="H1" s="190"/>
      <c r="I1" s="190"/>
    </row>
    <row r="2" spans="1:11" x14ac:dyDescent="0.25">
      <c r="B2" s="189" t="s">
        <v>730</v>
      </c>
      <c r="C2" s="189"/>
      <c r="D2" s="125" t="s">
        <v>366</v>
      </c>
      <c r="E2" s="189"/>
      <c r="F2" s="189"/>
      <c r="G2" s="189"/>
      <c r="H2" s="189"/>
      <c r="I2" s="189"/>
    </row>
    <row r="3" spans="1:11" x14ac:dyDescent="0.25">
      <c r="B3" s="189" t="s">
        <v>731</v>
      </c>
      <c r="C3" s="189"/>
      <c r="D3" s="125" t="s">
        <v>716</v>
      </c>
      <c r="E3" s="189"/>
      <c r="F3" s="189"/>
      <c r="G3" s="189"/>
      <c r="H3" s="189"/>
      <c r="I3" s="189"/>
    </row>
    <row r="4" spans="1:11" x14ac:dyDescent="0.25">
      <c r="B4" s="189" t="s">
        <v>732</v>
      </c>
      <c r="C4" s="189"/>
      <c r="D4" s="125" t="s">
        <v>717</v>
      </c>
      <c r="E4" s="190"/>
      <c r="F4" s="190"/>
      <c r="G4" s="190"/>
      <c r="H4" s="190"/>
      <c r="I4" s="190"/>
    </row>
    <row r="5" spans="1:11" x14ac:dyDescent="0.25">
      <c r="B5" s="189" t="s">
        <v>733</v>
      </c>
      <c r="C5" s="191"/>
      <c r="D5" s="125" t="s">
        <v>718</v>
      </c>
      <c r="E5" s="191"/>
      <c r="F5" s="191"/>
      <c r="G5" s="191"/>
      <c r="H5" s="191"/>
      <c r="I5" s="191"/>
      <c r="J5" s="191"/>
      <c r="K5" s="191"/>
    </row>
    <row r="6" spans="1:11" x14ac:dyDescent="0.25">
      <c r="D6" s="7"/>
    </row>
    <row r="7" spans="1:11" ht="48" customHeight="1" x14ac:dyDescent="0.25">
      <c r="A7" s="240" t="s">
        <v>808</v>
      </c>
      <c r="B7" s="240"/>
      <c r="C7" s="240"/>
      <c r="D7" s="240"/>
      <c r="E7" s="242"/>
      <c r="F7" s="242"/>
      <c r="G7" s="242"/>
      <c r="H7" s="242"/>
      <c r="I7" s="242"/>
      <c r="J7" s="242"/>
      <c r="K7" s="242"/>
    </row>
    <row r="8" spans="1:11" ht="17.399999999999999" x14ac:dyDescent="0.3">
      <c r="A8" s="192"/>
      <c r="B8" s="180"/>
      <c r="C8" s="180"/>
      <c r="D8" s="180"/>
    </row>
    <row r="9" spans="1:11" ht="17.399999999999999" x14ac:dyDescent="0.3">
      <c r="C9" s="193"/>
    </row>
    <row r="10" spans="1:11" ht="27.75" customHeight="1" x14ac:dyDescent="0.25">
      <c r="A10" s="245" t="s">
        <v>734</v>
      </c>
      <c r="B10" s="245" t="s">
        <v>735</v>
      </c>
      <c r="C10" s="258" t="s">
        <v>736</v>
      </c>
      <c r="D10" s="259"/>
      <c r="E10" s="260"/>
      <c r="F10" s="239" t="s">
        <v>737</v>
      </c>
      <c r="G10" s="261" t="s">
        <v>738</v>
      </c>
      <c r="H10" s="262"/>
      <c r="I10" s="248" t="s">
        <v>28</v>
      </c>
      <c r="J10" s="249"/>
      <c r="K10" s="245" t="s">
        <v>724</v>
      </c>
    </row>
    <row r="11" spans="1:11" ht="79.2" x14ac:dyDescent="0.25">
      <c r="A11" s="246"/>
      <c r="B11" s="257"/>
      <c r="C11" s="178" t="s">
        <v>739</v>
      </c>
      <c r="D11" s="194" t="s">
        <v>740</v>
      </c>
      <c r="E11" s="179" t="s">
        <v>741</v>
      </c>
      <c r="F11" s="239"/>
      <c r="G11" s="1" t="s">
        <v>742</v>
      </c>
      <c r="H11" s="1" t="s">
        <v>743</v>
      </c>
      <c r="I11" s="177" t="s">
        <v>720</v>
      </c>
      <c r="J11" s="177" t="s">
        <v>723</v>
      </c>
      <c r="K11" s="246"/>
    </row>
    <row r="12" spans="1:11" x14ac:dyDescent="0.25">
      <c r="A12" s="239" t="s">
        <v>744</v>
      </c>
      <c r="B12" s="239"/>
      <c r="C12" s="239"/>
      <c r="D12" s="239"/>
      <c r="E12" s="239"/>
      <c r="F12" s="239"/>
      <c r="G12" s="239"/>
      <c r="H12" s="239"/>
      <c r="I12" s="239"/>
      <c r="J12" s="239"/>
      <c r="K12" s="239"/>
    </row>
    <row r="13" spans="1:11" ht="277.2" x14ac:dyDescent="0.25">
      <c r="A13" s="195" t="s">
        <v>177</v>
      </c>
      <c r="B13" s="196" t="s">
        <v>87</v>
      </c>
      <c r="C13" s="197" t="s">
        <v>745</v>
      </c>
      <c r="D13" s="198">
        <v>40899</v>
      </c>
      <c r="E13" s="177" t="s">
        <v>746</v>
      </c>
      <c r="F13" s="177" t="s">
        <v>747</v>
      </c>
      <c r="G13" s="1" t="s">
        <v>748</v>
      </c>
      <c r="H13" s="79">
        <v>140210560</v>
      </c>
      <c r="I13" s="199">
        <v>1152</v>
      </c>
      <c r="J13" s="199">
        <v>969.7</v>
      </c>
      <c r="K13" s="93">
        <f t="shared" ref="K13:K15" si="0">ROUND((J13/I13*100),1)</f>
        <v>84.2</v>
      </c>
    </row>
    <row r="14" spans="1:11" ht="26.25" customHeight="1" x14ac:dyDescent="0.25">
      <c r="A14" s="239" t="s">
        <v>749</v>
      </c>
      <c r="B14" s="239"/>
      <c r="C14" s="239"/>
      <c r="D14" s="239"/>
      <c r="E14" s="239"/>
      <c r="F14" s="239"/>
      <c r="G14" s="239"/>
      <c r="H14" s="239"/>
      <c r="I14" s="239"/>
      <c r="J14" s="239"/>
      <c r="K14" s="239"/>
    </row>
    <row r="15" spans="1:11" ht="145.19999999999999" x14ac:dyDescent="0.25">
      <c r="A15" s="22" t="s">
        <v>358</v>
      </c>
      <c r="B15" s="82" t="s">
        <v>88</v>
      </c>
      <c r="C15" s="96" t="s">
        <v>750</v>
      </c>
      <c r="D15" s="198">
        <v>42723</v>
      </c>
      <c r="E15" s="1">
        <v>115</v>
      </c>
      <c r="F15" s="177" t="s">
        <v>751</v>
      </c>
      <c r="G15" s="1" t="s">
        <v>752</v>
      </c>
      <c r="H15" s="79">
        <v>1320225100</v>
      </c>
      <c r="I15" s="39">
        <f>1585.3+753</f>
        <v>2338.3000000000002</v>
      </c>
      <c r="J15" s="39"/>
      <c r="K15" s="93">
        <f t="shared" si="0"/>
        <v>0</v>
      </c>
    </row>
    <row r="16" spans="1:11" x14ac:dyDescent="0.25">
      <c r="A16" s="200"/>
      <c r="B16" s="201"/>
      <c r="C16" s="202"/>
      <c r="D16" s="203"/>
    </row>
    <row r="17" spans="1:4" x14ac:dyDescent="0.25">
      <c r="A17" s="200"/>
      <c r="B17" s="201"/>
      <c r="C17" s="202"/>
      <c r="D17" s="203"/>
    </row>
    <row r="18" spans="1:4" x14ac:dyDescent="0.25">
      <c r="A18" s="200"/>
      <c r="B18" s="201"/>
      <c r="C18" s="202"/>
      <c r="D18" s="203"/>
    </row>
    <row r="19" spans="1:4" x14ac:dyDescent="0.25">
      <c r="A19" s="204"/>
      <c r="B19" s="204"/>
      <c r="C19" s="205"/>
      <c r="D19" s="206"/>
    </row>
    <row r="20" spans="1:4" ht="13.8" x14ac:dyDescent="0.25">
      <c r="A20" s="19"/>
    </row>
  </sheetData>
  <mergeCells count="10">
    <mergeCell ref="A12:K12"/>
    <mergeCell ref="A14:K14"/>
    <mergeCell ref="I10:J10"/>
    <mergeCell ref="K10:K11"/>
    <mergeCell ref="A7:K7"/>
    <mergeCell ref="A10:A11"/>
    <mergeCell ref="B10:B11"/>
    <mergeCell ref="C10:E10"/>
    <mergeCell ref="F10:F11"/>
    <mergeCell ref="G10:H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H12" sqref="H12"/>
    </sheetView>
  </sheetViews>
  <sheetFormatPr defaultColWidth="9.109375" defaultRowHeight="13.2" x14ac:dyDescent="0.25"/>
  <cols>
    <col min="1" max="1" width="3.6640625" style="220" customWidth="1"/>
    <col min="2" max="2" width="22.5546875" style="220" customWidth="1"/>
    <col min="3" max="3" width="27.88671875" style="220" customWidth="1"/>
    <col min="4" max="4" width="9.88671875" style="236" customWidth="1"/>
    <col min="5" max="5" width="8.33203125" style="220" customWidth="1"/>
    <col min="6" max="6" width="6.109375" style="220" customWidth="1"/>
    <col min="7" max="7" width="10.44140625" style="220" customWidth="1"/>
    <col min="8" max="9" width="9.109375" style="220"/>
    <col min="10" max="10" width="10.33203125" style="220" bestFit="1" customWidth="1"/>
    <col min="11" max="16384" width="9.109375" style="220"/>
  </cols>
  <sheetData>
    <row r="1" spans="1:10" x14ac:dyDescent="0.25">
      <c r="B1" s="222" t="s">
        <v>754</v>
      </c>
      <c r="C1" s="232" t="s">
        <v>754</v>
      </c>
      <c r="D1" s="232"/>
      <c r="E1" s="223"/>
      <c r="F1" s="223"/>
    </row>
    <row r="2" spans="1:10" x14ac:dyDescent="0.25">
      <c r="B2" s="222" t="s">
        <v>755</v>
      </c>
      <c r="C2" s="232" t="s">
        <v>366</v>
      </c>
      <c r="D2" s="232"/>
      <c r="E2" s="223"/>
      <c r="F2" s="223"/>
    </row>
    <row r="3" spans="1:10" x14ac:dyDescent="0.25">
      <c r="B3" s="222" t="s">
        <v>756</v>
      </c>
      <c r="C3" s="232" t="s">
        <v>716</v>
      </c>
      <c r="D3" s="232"/>
      <c r="E3" s="223"/>
      <c r="F3" s="223"/>
    </row>
    <row r="4" spans="1:10" x14ac:dyDescent="0.25">
      <c r="B4" s="222" t="s">
        <v>757</v>
      </c>
      <c r="C4" s="232" t="s">
        <v>717</v>
      </c>
      <c r="D4" s="232"/>
      <c r="E4" s="223"/>
      <c r="F4" s="223"/>
    </row>
    <row r="5" spans="1:10" x14ac:dyDescent="0.25">
      <c r="B5" s="222" t="s">
        <v>758</v>
      </c>
      <c r="C5" s="232" t="s">
        <v>718</v>
      </c>
      <c r="D5" s="232"/>
      <c r="E5" s="223"/>
      <c r="F5" s="223"/>
    </row>
    <row r="6" spans="1:10" x14ac:dyDescent="0.25">
      <c r="B6" s="224"/>
      <c r="C6" s="225"/>
      <c r="D6" s="225"/>
      <c r="E6" s="223"/>
      <c r="F6" s="223"/>
    </row>
    <row r="7" spans="1:10" ht="50.25" customHeight="1" x14ac:dyDescent="0.25">
      <c r="A7" s="240" t="s">
        <v>806</v>
      </c>
      <c r="B7" s="254"/>
      <c r="C7" s="254"/>
      <c r="D7" s="254"/>
      <c r="E7" s="254"/>
      <c r="F7" s="254"/>
    </row>
    <row r="8" spans="1:10" ht="15" x14ac:dyDescent="0.25">
      <c r="A8" s="215"/>
      <c r="B8" s="219"/>
      <c r="C8" s="219"/>
      <c r="D8" s="235"/>
      <c r="E8" s="219"/>
      <c r="F8" s="219"/>
    </row>
    <row r="9" spans="1:10" x14ac:dyDescent="0.25">
      <c r="C9" s="6"/>
      <c r="D9" s="6"/>
    </row>
    <row r="10" spans="1:10" ht="144" customHeight="1" x14ac:dyDescent="0.25">
      <c r="A10" s="216" t="s">
        <v>759</v>
      </c>
      <c r="B10" s="218" t="s">
        <v>760</v>
      </c>
      <c r="C10" s="217" t="s">
        <v>761</v>
      </c>
      <c r="D10" s="234" t="s">
        <v>720</v>
      </c>
      <c r="E10" s="214" t="s">
        <v>805</v>
      </c>
      <c r="F10" s="214" t="s">
        <v>762</v>
      </c>
      <c r="G10" s="226" t="s">
        <v>763</v>
      </c>
    </row>
    <row r="11" spans="1:10" x14ac:dyDescent="0.25">
      <c r="A11" s="2">
        <v>1</v>
      </c>
      <c r="B11" s="2">
        <v>2</v>
      </c>
      <c r="C11" s="2">
        <v>3</v>
      </c>
      <c r="D11" s="2"/>
      <c r="E11" s="2">
        <v>4</v>
      </c>
      <c r="F11" s="2">
        <v>5</v>
      </c>
      <c r="G11" s="2">
        <v>6</v>
      </c>
      <c r="J11" s="102"/>
    </row>
    <row r="12" spans="1:10" ht="26.4" x14ac:dyDescent="0.25">
      <c r="A12" s="263" t="s">
        <v>764</v>
      </c>
      <c r="B12" s="96" t="s">
        <v>765</v>
      </c>
      <c r="C12" s="267" t="s">
        <v>766</v>
      </c>
      <c r="D12" s="228">
        <v>70</v>
      </c>
      <c r="E12" s="93">
        <v>70</v>
      </c>
      <c r="F12" s="267" t="s">
        <v>767</v>
      </c>
      <c r="G12" s="265" t="s">
        <v>768</v>
      </c>
      <c r="J12" s="102"/>
    </row>
    <row r="13" spans="1:10" ht="26.4" x14ac:dyDescent="0.25">
      <c r="A13" s="264"/>
      <c r="B13" s="96" t="s">
        <v>769</v>
      </c>
      <c r="C13" s="246"/>
      <c r="D13" s="233">
        <v>30</v>
      </c>
      <c r="E13" s="93">
        <v>30</v>
      </c>
      <c r="F13" s="246"/>
      <c r="G13" s="266"/>
      <c r="J13" s="102"/>
    </row>
    <row r="14" spans="1:10" ht="66" x14ac:dyDescent="0.25">
      <c r="A14" s="263" t="s">
        <v>770</v>
      </c>
      <c r="B14" s="165" t="s">
        <v>771</v>
      </c>
      <c r="C14" s="227" t="s">
        <v>772</v>
      </c>
      <c r="D14" s="237">
        <v>50</v>
      </c>
      <c r="E14" s="93">
        <v>50</v>
      </c>
      <c r="F14" s="227" t="s">
        <v>773</v>
      </c>
      <c r="G14" s="265" t="s">
        <v>774</v>
      </c>
      <c r="J14" s="102"/>
    </row>
    <row r="15" spans="1:10" ht="26.4" x14ac:dyDescent="0.25">
      <c r="A15" s="264"/>
      <c r="B15" s="228" t="s">
        <v>775</v>
      </c>
      <c r="C15" s="228" t="s">
        <v>776</v>
      </c>
      <c r="D15" s="228">
        <v>50</v>
      </c>
      <c r="E15" s="93">
        <v>0</v>
      </c>
      <c r="F15" s="227" t="s">
        <v>777</v>
      </c>
      <c r="G15" s="266"/>
      <c r="J15" s="102"/>
    </row>
    <row r="16" spans="1:10" ht="59.4" customHeight="1" x14ac:dyDescent="0.25">
      <c r="A16" s="263" t="s">
        <v>778</v>
      </c>
      <c r="B16" s="97" t="s">
        <v>779</v>
      </c>
      <c r="C16" s="269" t="s">
        <v>780</v>
      </c>
      <c r="D16" s="279">
        <v>42</v>
      </c>
      <c r="E16" s="93">
        <v>42</v>
      </c>
      <c r="F16" s="267" t="s">
        <v>767</v>
      </c>
      <c r="G16" s="271" t="s">
        <v>781</v>
      </c>
      <c r="J16" s="102"/>
    </row>
    <row r="17" spans="1:10" ht="26.4" x14ac:dyDescent="0.25">
      <c r="A17" s="268"/>
      <c r="B17" s="97" t="s">
        <v>782</v>
      </c>
      <c r="C17" s="270"/>
      <c r="D17" s="280">
        <v>18</v>
      </c>
      <c r="E17" s="93">
        <v>18</v>
      </c>
      <c r="F17" s="246"/>
      <c r="G17" s="268"/>
      <c r="J17" s="102"/>
    </row>
    <row r="18" spans="1:10" ht="39.6" x14ac:dyDescent="0.25">
      <c r="A18" s="264"/>
      <c r="B18" s="97" t="s">
        <v>783</v>
      </c>
      <c r="C18" s="228" t="s">
        <v>784</v>
      </c>
      <c r="D18" s="228">
        <v>40</v>
      </c>
      <c r="E18" s="93">
        <v>40</v>
      </c>
      <c r="F18" s="93" t="s">
        <v>785</v>
      </c>
      <c r="G18" s="264"/>
      <c r="J18" s="102"/>
    </row>
    <row r="19" spans="1:10" ht="39.6" x14ac:dyDescent="0.25">
      <c r="A19" s="229" t="s">
        <v>786</v>
      </c>
      <c r="B19" s="97" t="s">
        <v>783</v>
      </c>
      <c r="C19" s="228" t="s">
        <v>784</v>
      </c>
      <c r="D19" s="228">
        <v>100</v>
      </c>
      <c r="E19" s="93">
        <v>100</v>
      </c>
      <c r="F19" s="93" t="s">
        <v>785</v>
      </c>
      <c r="G19" s="230" t="s">
        <v>787</v>
      </c>
      <c r="J19" s="102"/>
    </row>
    <row r="20" spans="1:10" ht="39.6" x14ac:dyDescent="0.25">
      <c r="A20" s="263" t="s">
        <v>788</v>
      </c>
      <c r="B20" s="97" t="s">
        <v>789</v>
      </c>
      <c r="C20" s="227" t="s">
        <v>790</v>
      </c>
      <c r="D20" s="237">
        <v>70</v>
      </c>
      <c r="E20" s="93">
        <v>70</v>
      </c>
      <c r="F20" s="93" t="s">
        <v>791</v>
      </c>
      <c r="G20" s="265" t="s">
        <v>792</v>
      </c>
      <c r="J20" s="102"/>
    </row>
    <row r="21" spans="1:10" ht="52.8" x14ac:dyDescent="0.25">
      <c r="A21" s="272"/>
      <c r="B21" s="96" t="s">
        <v>793</v>
      </c>
      <c r="C21" s="227" t="s">
        <v>794</v>
      </c>
      <c r="D21" s="237">
        <v>30</v>
      </c>
      <c r="E21" s="93">
        <v>30</v>
      </c>
      <c r="F21" s="93" t="s">
        <v>791</v>
      </c>
      <c r="G21" s="273"/>
      <c r="J21" s="102"/>
    </row>
    <row r="22" spans="1:10" ht="39.6" x14ac:dyDescent="0.25">
      <c r="A22" s="231" t="s">
        <v>795</v>
      </c>
      <c r="B22" s="97" t="s">
        <v>783</v>
      </c>
      <c r="C22" s="228" t="s">
        <v>784</v>
      </c>
      <c r="D22" s="228">
        <v>100</v>
      </c>
      <c r="E22" s="93">
        <v>100</v>
      </c>
      <c r="F22" s="93" t="s">
        <v>785</v>
      </c>
      <c r="G22" s="230" t="s">
        <v>796</v>
      </c>
      <c r="J22" s="102"/>
    </row>
    <row r="23" spans="1:10" ht="66" x14ac:dyDescent="0.25">
      <c r="A23" s="274" t="s">
        <v>797</v>
      </c>
      <c r="B23" s="97" t="s">
        <v>798</v>
      </c>
      <c r="C23" s="227" t="s">
        <v>766</v>
      </c>
      <c r="D23" s="237">
        <v>50</v>
      </c>
      <c r="E23" s="93">
        <v>50</v>
      </c>
      <c r="F23" s="93" t="s">
        <v>767</v>
      </c>
      <c r="G23" s="265" t="s">
        <v>799</v>
      </c>
      <c r="J23" s="102"/>
    </row>
    <row r="24" spans="1:10" ht="64.2" customHeight="1" x14ac:dyDescent="0.25">
      <c r="A24" s="275"/>
      <c r="B24" s="228" t="s">
        <v>800</v>
      </c>
      <c r="C24" s="228" t="s">
        <v>801</v>
      </c>
      <c r="D24" s="228">
        <v>50</v>
      </c>
      <c r="E24" s="93">
        <v>50</v>
      </c>
      <c r="F24" s="93" t="s">
        <v>767</v>
      </c>
      <c r="G24" s="273"/>
      <c r="J24" s="102"/>
    </row>
    <row r="25" spans="1:10" ht="68.400000000000006" customHeight="1" x14ac:dyDescent="0.25">
      <c r="A25" s="276">
        <v>8</v>
      </c>
      <c r="B25" s="97" t="s">
        <v>802</v>
      </c>
      <c r="C25" s="228" t="s">
        <v>801</v>
      </c>
      <c r="D25" s="228">
        <v>85</v>
      </c>
      <c r="E25" s="93">
        <v>85</v>
      </c>
      <c r="F25" s="93" t="s">
        <v>767</v>
      </c>
      <c r="G25" s="265" t="s">
        <v>803</v>
      </c>
      <c r="J25" s="102"/>
    </row>
    <row r="26" spans="1:10" ht="53.4" customHeight="1" x14ac:dyDescent="0.25">
      <c r="A26" s="264"/>
      <c r="B26" s="96" t="s">
        <v>793</v>
      </c>
      <c r="C26" s="227" t="s">
        <v>794</v>
      </c>
      <c r="D26" s="237">
        <v>15</v>
      </c>
      <c r="E26" s="93">
        <v>15</v>
      </c>
      <c r="F26" s="93" t="s">
        <v>791</v>
      </c>
      <c r="G26" s="266"/>
      <c r="J26" s="102"/>
    </row>
    <row r="27" spans="1:10" x14ac:dyDescent="0.25">
      <c r="A27" s="1"/>
      <c r="B27" s="277" t="s">
        <v>804</v>
      </c>
      <c r="C27" s="249"/>
      <c r="D27" s="278">
        <v>800</v>
      </c>
      <c r="E27" s="39">
        <f>SUM(E12:E26)</f>
        <v>750</v>
      </c>
      <c r="F27" s="1"/>
      <c r="G27" s="1"/>
    </row>
  </sheetData>
  <mergeCells count="18">
    <mergeCell ref="A23:A24"/>
    <mergeCell ref="G23:G24"/>
    <mergeCell ref="A25:A26"/>
    <mergeCell ref="G25:G26"/>
    <mergeCell ref="B27:C27"/>
    <mergeCell ref="A16:A18"/>
    <mergeCell ref="C16:C17"/>
    <mergeCell ref="F16:F17"/>
    <mergeCell ref="G16:G18"/>
    <mergeCell ref="A20:A21"/>
    <mergeCell ref="G20:G21"/>
    <mergeCell ref="A14:A15"/>
    <mergeCell ref="G14:G15"/>
    <mergeCell ref="A7:F7"/>
    <mergeCell ref="A12:A13"/>
    <mergeCell ref="C12:C13"/>
    <mergeCell ref="F12:F13"/>
    <mergeCell ref="G12:G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прил.1</vt:lpstr>
      <vt:lpstr>прил.3</vt:lpstr>
      <vt:lpstr>прил.4</vt:lpstr>
      <vt:lpstr>прил.5</vt:lpstr>
      <vt:lpstr>прил.6</vt:lpstr>
      <vt:lpstr>прил.7</vt:lpstr>
      <vt:lpstr>прил.8</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Татьяна Кочеткова</cp:lastModifiedBy>
  <cp:lastPrinted>2024-03-26T08:32:51Z</cp:lastPrinted>
  <dcterms:created xsi:type="dcterms:W3CDTF">2007-02-27T13:35:41Z</dcterms:created>
  <dcterms:modified xsi:type="dcterms:W3CDTF">2024-03-26T08:43:47Z</dcterms:modified>
</cp:coreProperties>
</file>