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120" yWindow="-120" windowWidth="23250" windowHeight="13170" activeTab="4"/>
  </bookViews>
  <sheets>
    <sheet name="прил.1" sheetId="62" r:id="rId1"/>
    <sheet name="прил.3" sheetId="1" r:id="rId2"/>
    <sheet name="прил.4" sheetId="61" r:id="rId3"/>
    <sheet name="прил.5" sheetId="2" r:id="rId4"/>
    <sheet name="прил.6" sheetId="3" r:id="rId5"/>
  </sheets>
  <calcPr calcId="125725" iterate="1"/>
</workbook>
</file>

<file path=xl/calcChain.xml><?xml version="1.0" encoding="utf-8"?>
<calcChain xmlns="http://schemas.openxmlformats.org/spreadsheetml/2006/main">
  <c r="D633" i="3"/>
  <c r="D632"/>
  <c r="H38" i="2"/>
  <c r="H39"/>
  <c r="F62" i="61"/>
  <c r="F63"/>
  <c r="D593" i="3" l="1"/>
  <c r="D592"/>
  <c r="H101" i="2"/>
  <c r="H100"/>
  <c r="F105" i="61"/>
  <c r="F104"/>
  <c r="F636"/>
  <c r="F635"/>
  <c r="H739" i="2"/>
  <c r="H738"/>
  <c r="D196" i="3"/>
  <c r="D195"/>
  <c r="D553"/>
  <c r="H414" i="2"/>
  <c r="F380" i="61"/>
  <c r="E44" i="1"/>
  <c r="E39"/>
  <c r="E27"/>
  <c r="F222" i="61"/>
  <c r="H229" i="2"/>
  <c r="D259" i="3"/>
  <c r="F385" i="61"/>
  <c r="H420" i="2"/>
  <c r="D291" i="3"/>
  <c r="F279" i="61"/>
  <c r="H295" i="2"/>
  <c r="D296" i="3"/>
  <c r="F176" i="61"/>
  <c r="H177" i="2"/>
  <c r="D397" i="3"/>
  <c r="D144"/>
  <c r="H609" i="2"/>
  <c r="F548" i="61"/>
  <c r="D611" i="3"/>
  <c r="H89" i="2"/>
  <c r="F93" i="61"/>
  <c r="D622" i="3"/>
  <c r="D621"/>
  <c r="H757" i="2"/>
  <c r="H756"/>
  <c r="F58" i="61"/>
  <c r="F57"/>
  <c r="H55" i="2"/>
  <c r="F45" i="61"/>
  <c r="E40" i="1"/>
  <c r="E45"/>
  <c r="E43"/>
  <c r="E52"/>
  <c r="E31"/>
  <c r="E29"/>
  <c r="D399" i="3"/>
  <c r="H179" i="2"/>
  <c r="F178" i="61"/>
  <c r="D298" i="3"/>
  <c r="H297" i="2"/>
  <c r="F281" i="61"/>
  <c r="D280" i="3"/>
  <c r="H464" i="2"/>
  <c r="F653" i="61"/>
  <c r="D293" i="3"/>
  <c r="H422" i="2"/>
  <c r="F387" i="61"/>
  <c r="D302" i="3"/>
  <c r="H301" i="2"/>
  <c r="F285" i="61"/>
  <c r="D300" i="3"/>
  <c r="H299" i="2"/>
  <c r="F283" i="61"/>
  <c r="D368" i="3" l="1"/>
  <c r="H328" i="2"/>
  <c r="F307" i="61"/>
  <c r="D321" i="3" l="1"/>
  <c r="H272" i="2"/>
  <c r="F260" i="61"/>
  <c r="D335" i="3"/>
  <c r="H286" i="2"/>
  <c r="F272" i="61"/>
  <c r="D311" i="3"/>
  <c r="H262" i="2"/>
  <c r="F252" i="61"/>
  <c r="E42" i="1"/>
  <c r="D199" i="3" l="1"/>
  <c r="D198"/>
  <c r="H742" i="2"/>
  <c r="H741"/>
  <c r="F639" i="61"/>
  <c r="F638"/>
  <c r="D117" i="3"/>
  <c r="H588" i="2"/>
  <c r="F530" i="61"/>
  <c r="F526"/>
  <c r="H583" i="2"/>
  <c r="D76" i="3"/>
  <c r="D71"/>
  <c r="H520" i="2"/>
  <c r="F430" i="61"/>
  <c r="D84" i="3"/>
  <c r="H525" i="2"/>
  <c r="F434" i="61"/>
  <c r="D124" i="3"/>
  <c r="H572" i="2"/>
  <c r="F489" i="61"/>
  <c r="D58" i="3"/>
  <c r="H507" i="2"/>
  <c r="F418" i="61"/>
  <c r="D49" i="3"/>
  <c r="H498" i="2"/>
  <c r="F410" i="61"/>
  <c r="E48" i="1"/>
  <c r="E50"/>
  <c r="D327" i="3"/>
  <c r="D326"/>
  <c r="H278" i="2"/>
  <c r="H277"/>
  <c r="F265" i="61"/>
  <c r="F264"/>
  <c r="D238" i="3"/>
  <c r="H75" i="2"/>
  <c r="F79" i="61"/>
  <c r="F75"/>
  <c r="D234" i="3"/>
  <c r="H71" i="2"/>
  <c r="D98" i="3" l="1"/>
  <c r="D97" s="1"/>
  <c r="F97"/>
  <c r="E97"/>
  <c r="F96"/>
  <c r="E96"/>
  <c r="D96"/>
  <c r="D95" s="1"/>
  <c r="F95"/>
  <c r="H544" i="2"/>
  <c r="H543" s="1"/>
  <c r="J543"/>
  <c r="I543"/>
  <c r="J542"/>
  <c r="J541" s="1"/>
  <c r="I542"/>
  <c r="H542"/>
  <c r="H541" s="1"/>
  <c r="F450" i="61"/>
  <c r="F448"/>
  <c r="E95" i="3" l="1"/>
  <c r="I541" i="2"/>
  <c r="F167" i="3"/>
  <c r="E167"/>
  <c r="D167"/>
  <c r="J639" i="2"/>
  <c r="I639"/>
  <c r="H639"/>
  <c r="G32" i="62" l="1"/>
  <c r="F32"/>
  <c r="E32"/>
  <c r="D32"/>
  <c r="C32"/>
  <c r="G31"/>
  <c r="G30" s="1"/>
  <c r="F30"/>
  <c r="E30"/>
  <c r="D30"/>
  <c r="C30"/>
  <c r="D600" i="3" l="1"/>
  <c r="H86" i="2"/>
  <c r="F90" i="61"/>
  <c r="F471" l="1"/>
  <c r="D30" i="3" l="1"/>
  <c r="H481" i="2"/>
  <c r="F395" i="61"/>
  <c r="D160" i="3"/>
  <c r="D159"/>
  <c r="H701" i="2"/>
  <c r="H700"/>
  <c r="H699"/>
  <c r="F565" i="61"/>
  <c r="F564"/>
  <c r="J501" i="2"/>
  <c r="I501"/>
  <c r="H501"/>
  <c r="H503"/>
  <c r="I503"/>
  <c r="J503"/>
  <c r="G413" i="61"/>
  <c r="H413"/>
  <c r="F413"/>
  <c r="G396"/>
  <c r="H396"/>
  <c r="F396"/>
  <c r="D157" i="3" l="1"/>
  <c r="D156"/>
  <c r="H698" i="2"/>
  <c r="H697"/>
  <c r="D154" i="3"/>
  <c r="H695" i="2"/>
  <c r="D150" i="3"/>
  <c r="H691" i="2"/>
  <c r="F555" i="61"/>
  <c r="F561"/>
  <c r="F559"/>
  <c r="F562"/>
  <c r="D353" i="3"/>
  <c r="H313" i="2"/>
  <c r="F295" i="61"/>
  <c r="D532" i="3" l="1"/>
  <c r="H396" i="2"/>
  <c r="F364" i="61"/>
  <c r="D171" i="3" l="1"/>
  <c r="H643" i="2"/>
  <c r="F475" i="61"/>
  <c r="F174" i="3" l="1"/>
  <c r="E174"/>
  <c r="D174"/>
  <c r="F172"/>
  <c r="E172"/>
  <c r="D172"/>
  <c r="J646" i="2"/>
  <c r="I646"/>
  <c r="H646"/>
  <c r="J644"/>
  <c r="I644"/>
  <c r="H644"/>
  <c r="H478" i="61"/>
  <c r="G478"/>
  <c r="F478"/>
  <c r="H476"/>
  <c r="G476"/>
  <c r="F476"/>
  <c r="F105" i="3"/>
  <c r="E105"/>
  <c r="D105"/>
  <c r="F103"/>
  <c r="E103"/>
  <c r="D103"/>
  <c r="J551" i="2"/>
  <c r="I551"/>
  <c r="H551"/>
  <c r="J549"/>
  <c r="I549"/>
  <c r="H549"/>
  <c r="H457" i="61"/>
  <c r="G457"/>
  <c r="F457"/>
  <c r="H455"/>
  <c r="G455"/>
  <c r="F455"/>
  <c r="F54" i="3"/>
  <c r="E54"/>
  <c r="D54"/>
  <c r="F52"/>
  <c r="E52"/>
  <c r="D52"/>
  <c r="H415" i="61"/>
  <c r="G415"/>
  <c r="F415"/>
  <c r="F33" i="3"/>
  <c r="E33"/>
  <c r="D33"/>
  <c r="F31"/>
  <c r="E31"/>
  <c r="D31"/>
  <c r="J484" i="2"/>
  <c r="I484"/>
  <c r="H484"/>
  <c r="J482"/>
  <c r="I482"/>
  <c r="H482"/>
  <c r="H398" i="61"/>
  <c r="G398"/>
  <c r="F398"/>
  <c r="D102" i="3" l="1"/>
  <c r="H548" i="2"/>
  <c r="F454" i="61"/>
  <c r="D169" i="3"/>
  <c r="H641" i="2"/>
  <c r="D100" i="3"/>
  <c r="H546" i="2"/>
  <c r="F473" i="61"/>
  <c r="F452"/>
  <c r="F100" i="3" l="1"/>
  <c r="E100"/>
  <c r="J546" i="2"/>
  <c r="I546"/>
  <c r="F408" i="61" l="1"/>
  <c r="H496" i="2"/>
  <c r="D47" i="3"/>
  <c r="D28"/>
  <c r="H479" i="2"/>
  <c r="F393" i="61"/>
  <c r="D51" i="3" l="1"/>
  <c r="H500" i="2"/>
  <c r="F412" i="61"/>
  <c r="D581" i="3"/>
  <c r="H762" i="2"/>
  <c r="F68" i="61"/>
  <c r="H238" i="2" l="1"/>
  <c r="D268" i="3"/>
  <c r="D274"/>
  <c r="H244" i="2"/>
  <c r="F236" i="61"/>
  <c r="F230"/>
  <c r="E535" i="3" l="1"/>
  <c r="I399" i="2"/>
  <c r="G366" i="61"/>
  <c r="D214" i="3" l="1"/>
  <c r="D213" s="1"/>
  <c r="D212"/>
  <c r="D211" s="1"/>
  <c r="H663" i="2"/>
  <c r="H662" s="1"/>
  <c r="H661"/>
  <c r="H660" s="1"/>
  <c r="F496" i="61"/>
  <c r="F498"/>
  <c r="D428" i="3"/>
  <c r="H678" i="2"/>
  <c r="F511" i="61"/>
  <c r="E352" i="3" l="1"/>
  <c r="F352"/>
  <c r="D352"/>
  <c r="D133" l="1"/>
  <c r="H598" i="2"/>
  <c r="D77" i="3"/>
  <c r="H584" i="2"/>
  <c r="F527" i="61"/>
  <c r="F538"/>
  <c r="H596" i="2" l="1"/>
  <c r="D131" i="3"/>
  <c r="D126"/>
  <c r="H593" i="2"/>
  <c r="F534" i="61"/>
  <c r="F536"/>
  <c r="F29" i="62" l="1"/>
  <c r="C34"/>
  <c r="D29"/>
  <c r="E29" l="1"/>
  <c r="C29"/>
  <c r="G29"/>
  <c r="D496" i="3" l="1"/>
  <c r="D503" l="1"/>
  <c r="H351" i="2" l="1"/>
  <c r="D465" i="3"/>
  <c r="D530"/>
  <c r="H394" i="2"/>
  <c r="F362" i="61"/>
  <c r="F327"/>
  <c r="E69" i="3" l="1"/>
  <c r="I518" i="2"/>
  <c r="G428" i="61"/>
  <c r="E60" i="3"/>
  <c r="I509" i="2"/>
  <c r="G420" i="61"/>
  <c r="D186" i="3" l="1"/>
  <c r="H722" i="2"/>
  <c r="F583" i="61"/>
  <c r="F556"/>
  <c r="F554" s="1"/>
  <c r="H692" i="2"/>
  <c r="D151" i="3"/>
  <c r="D575"/>
  <c r="H210" i="2"/>
  <c r="F206" i="61"/>
  <c r="F202"/>
  <c r="H205" i="2"/>
  <c r="D570" i="3"/>
  <c r="D562"/>
  <c r="H201" i="2"/>
  <c r="F198" i="61"/>
  <c r="F350"/>
  <c r="H379" i="2"/>
  <c r="D493" i="3"/>
  <c r="F150"/>
  <c r="F149" s="1"/>
  <c r="E150"/>
  <c r="E149"/>
  <c r="J691" i="2"/>
  <c r="J690" s="1"/>
  <c r="I691"/>
  <c r="I690" s="1"/>
  <c r="H690"/>
  <c r="D149" i="3" l="1"/>
  <c r="D395"/>
  <c r="H175" i="2"/>
  <c r="F174" i="61"/>
  <c r="D441" i="3" l="1"/>
  <c r="D440" s="1"/>
  <c r="D439"/>
  <c r="D438" s="1"/>
  <c r="H109" i="2"/>
  <c r="H107"/>
  <c r="F112" i="61"/>
  <c r="F110"/>
  <c r="D624" i="3"/>
  <c r="H57" i="2"/>
  <c r="F47" i="61"/>
  <c r="F243" i="3"/>
  <c r="F242" s="1"/>
  <c r="E243"/>
  <c r="E242" s="1"/>
  <c r="D243"/>
  <c r="D242" s="1"/>
  <c r="J218" i="2"/>
  <c r="J217" s="1"/>
  <c r="I218"/>
  <c r="I217" s="1"/>
  <c r="H218"/>
  <c r="H217" s="1"/>
  <c r="I398" l="1"/>
  <c r="I397" s="1"/>
  <c r="I393"/>
  <c r="I395"/>
  <c r="D315" i="3"/>
  <c r="H266" i="2"/>
  <c r="F255" i="61"/>
  <c r="F208" l="1"/>
  <c r="H212" i="2"/>
  <c r="D577" i="3"/>
  <c r="D183" l="1"/>
  <c r="H713" i="2"/>
  <c r="F575" i="61"/>
  <c r="D239" i="3"/>
  <c r="H76" i="2"/>
  <c r="F80" i="61"/>
  <c r="D405" i="3" l="1"/>
  <c r="H185" i="2"/>
  <c r="F184" i="61"/>
  <c r="D417" i="3"/>
  <c r="H163" i="2"/>
  <c r="F163" i="61"/>
  <c r="D401" i="3"/>
  <c r="H181" i="2"/>
  <c r="F180" i="61"/>
  <c r="D485" i="3"/>
  <c r="F343" i="61"/>
  <c r="H371" i="2"/>
  <c r="D256" i="3"/>
  <c r="H151" i="2"/>
  <c r="F152" i="61"/>
  <c r="D343" i="3"/>
  <c r="H342" i="2"/>
  <c r="F319" i="61"/>
  <c r="H276" i="2"/>
  <c r="D384" i="3"/>
  <c r="H255" i="2"/>
  <c r="F246" i="61"/>
  <c r="F335"/>
  <c r="H361" i="2"/>
  <c r="D475" i="3"/>
  <c r="D463"/>
  <c r="F325" i="61"/>
  <c r="H349" i="2"/>
  <c r="D325" i="3" l="1"/>
  <c r="D373"/>
  <c r="H333" i="2"/>
  <c r="F311" i="61"/>
  <c r="D361" i="3" l="1"/>
  <c r="H321" i="2"/>
  <c r="F302" i="61"/>
  <c r="D249" i="3" l="1"/>
  <c r="D248" s="1"/>
  <c r="D247"/>
  <c r="D246"/>
  <c r="H224" i="2"/>
  <c r="H223" s="1"/>
  <c r="H222"/>
  <c r="H221" s="1"/>
  <c r="F213" i="61"/>
  <c r="F212" s="1"/>
  <c r="F218"/>
  <c r="F216"/>
  <c r="D236" i="3"/>
  <c r="H73" i="2"/>
  <c r="F77" i="61"/>
  <c r="G27" i="62" l="1"/>
  <c r="F27"/>
  <c r="F24" s="1"/>
  <c r="F34" s="1"/>
  <c r="E27"/>
  <c r="D27"/>
  <c r="D24" s="1"/>
  <c r="D34" s="1"/>
  <c r="C27"/>
  <c r="G24"/>
  <c r="G34" s="1"/>
  <c r="E24"/>
  <c r="E34" s="1"/>
  <c r="F464" i="3" l="1"/>
  <c r="E464"/>
  <c r="D464"/>
  <c r="J350" i="2"/>
  <c r="I350"/>
  <c r="H350"/>
  <c r="G326" i="61"/>
  <c r="H326"/>
  <c r="F326"/>
  <c r="F91" i="3" l="1"/>
  <c r="F90" s="1"/>
  <c r="E91"/>
  <c r="E90" s="1"/>
  <c r="D91"/>
  <c r="D90" s="1"/>
  <c r="H439" i="61"/>
  <c r="G439"/>
  <c r="F439"/>
  <c r="J532" i="2"/>
  <c r="J531" s="1"/>
  <c r="I532"/>
  <c r="I531" s="1"/>
  <c r="H532"/>
  <c r="H531" s="1"/>
  <c r="D141" i="3" l="1"/>
  <c r="H606" i="2"/>
  <c r="F545" i="61"/>
  <c r="G48" i="1"/>
  <c r="F48"/>
  <c r="E57"/>
  <c r="D525" i="3"/>
  <c r="H429" i="2"/>
  <c r="F598" i="61"/>
  <c r="F305" i="3"/>
  <c r="E305"/>
  <c r="D305"/>
  <c r="J304" i="2"/>
  <c r="I304"/>
  <c r="H304"/>
  <c r="G288" i="61"/>
  <c r="H288"/>
  <c r="F288"/>
  <c r="H56" i="2" l="1"/>
  <c r="D452" i="3" l="1"/>
  <c r="D451" s="1"/>
  <c r="D450"/>
  <c r="D449"/>
  <c r="H120" i="2"/>
  <c r="H119" s="1"/>
  <c r="H118"/>
  <c r="H117" s="1"/>
  <c r="F121" i="61"/>
  <c r="F119"/>
  <c r="D231" i="3"/>
  <c r="H68" i="2"/>
  <c r="F73" i="61"/>
  <c r="F552" i="3" l="1"/>
  <c r="E552"/>
  <c r="D552"/>
  <c r="F550"/>
  <c r="E550"/>
  <c r="D550"/>
  <c r="J413" i="2"/>
  <c r="I413"/>
  <c r="H413"/>
  <c r="J411"/>
  <c r="I411"/>
  <c r="H411"/>
  <c r="G379" i="61"/>
  <c r="H379"/>
  <c r="F379"/>
  <c r="D329" i="3" l="1"/>
  <c r="H280" i="2"/>
  <c r="F267" i="61"/>
  <c r="D482" i="3" l="1"/>
  <c r="F481"/>
  <c r="E481"/>
  <c r="D481"/>
  <c r="H368" i="2"/>
  <c r="H367" s="1"/>
  <c r="J367"/>
  <c r="I367"/>
  <c r="F340" i="61"/>
  <c r="F339" s="1"/>
  <c r="D614" i="3" l="1"/>
  <c r="H92" i="2"/>
  <c r="F96" i="61"/>
  <c r="E51" i="1" l="1"/>
  <c r="D312" i="3" l="1"/>
  <c r="H263" i="2"/>
  <c r="F253" i="61"/>
  <c r="D359" i="3" l="1"/>
  <c r="H319" i="2"/>
  <c r="F300" i="61"/>
  <c r="G377" l="1"/>
  <c r="H377"/>
  <c r="F377"/>
  <c r="F403"/>
  <c r="H490" i="2"/>
  <c r="D39" i="3"/>
  <c r="D37"/>
  <c r="H488" i="2"/>
  <c r="F401" i="61"/>
  <c r="D598" i="3"/>
  <c r="H84" i="2"/>
  <c r="F88" i="61"/>
  <c r="F46"/>
  <c r="E518" i="3" l="1"/>
  <c r="E315"/>
  <c r="I455" i="2"/>
  <c r="I266"/>
  <c r="G629" i="61"/>
  <c r="G255"/>
  <c r="F59" i="1"/>
  <c r="F42"/>
  <c r="E58" l="1"/>
  <c r="J438" i="2"/>
  <c r="J437" s="1"/>
  <c r="J436" s="1"/>
  <c r="I438"/>
  <c r="I437" s="1"/>
  <c r="I436" s="1"/>
  <c r="H438"/>
  <c r="H437" s="1"/>
  <c r="H436" s="1"/>
  <c r="H610" i="61"/>
  <c r="H609" s="1"/>
  <c r="H608" s="1"/>
  <c r="G610"/>
  <c r="G609" s="1"/>
  <c r="G608" s="1"/>
  <c r="F610"/>
  <c r="F609" s="1"/>
  <c r="F608" s="1"/>
  <c r="F532" l="1"/>
  <c r="H590" i="2"/>
  <c r="D119" i="3"/>
  <c r="F187" l="1"/>
  <c r="E187"/>
  <c r="D187"/>
  <c r="J723" i="2"/>
  <c r="I723"/>
  <c r="H723"/>
  <c r="H584" i="61"/>
  <c r="G584"/>
  <c r="F584"/>
  <c r="F163" i="3"/>
  <c r="E163"/>
  <c r="D163"/>
  <c r="H568" i="61"/>
  <c r="G568"/>
  <c r="F568"/>
  <c r="I704" i="2"/>
  <c r="J704"/>
  <c r="H704"/>
  <c r="D140" i="3"/>
  <c r="D139" s="1"/>
  <c r="F139"/>
  <c r="E139"/>
  <c r="H605" i="2"/>
  <c r="H604" s="1"/>
  <c r="J604"/>
  <c r="I604"/>
  <c r="F544" i="61"/>
  <c r="F63" i="3"/>
  <c r="E63"/>
  <c r="D63"/>
  <c r="J512" i="2"/>
  <c r="I512"/>
  <c r="H512"/>
  <c r="H423" i="61"/>
  <c r="G423"/>
  <c r="F423"/>
  <c r="D134" i="3" l="1"/>
  <c r="H599" i="2"/>
  <c r="F539" i="61"/>
  <c r="D79" i="3"/>
  <c r="H578" i="2"/>
  <c r="F521" i="61"/>
  <c r="E237" i="3"/>
  <c r="F237"/>
  <c r="D237"/>
  <c r="I74" i="2"/>
  <c r="J74"/>
  <c r="H74"/>
  <c r="G78" i="61"/>
  <c r="H78"/>
  <c r="F78"/>
  <c r="D162" i="3" l="1"/>
  <c r="H703" i="2"/>
  <c r="F567" i="61"/>
  <c r="H566" l="1"/>
  <c r="G566"/>
  <c r="F566"/>
  <c r="J702" i="2"/>
  <c r="I702"/>
  <c r="H702"/>
  <c r="E161" i="3"/>
  <c r="F161"/>
  <c r="D161"/>
  <c r="D515" l="1"/>
  <c r="D514" s="1"/>
  <c r="D513"/>
  <c r="D512"/>
  <c r="H452" i="2"/>
  <c r="H451" s="1"/>
  <c r="H450"/>
  <c r="H449" s="1"/>
  <c r="F625" i="61"/>
  <c r="F627"/>
  <c r="E310" i="3" l="1"/>
  <c r="F310"/>
  <c r="D310"/>
  <c r="I261" i="2"/>
  <c r="J261"/>
  <c r="H261"/>
  <c r="G251" i="61"/>
  <c r="H251"/>
  <c r="F251"/>
  <c r="D178" i="3"/>
  <c r="H708" i="2"/>
  <c r="F571" i="61"/>
  <c r="F88" i="3" l="1"/>
  <c r="E88"/>
  <c r="D88"/>
  <c r="J529" i="2"/>
  <c r="I529"/>
  <c r="H529"/>
  <c r="G437" i="61"/>
  <c r="H437"/>
  <c r="F437"/>
  <c r="F358" l="1"/>
  <c r="H389" i="2"/>
  <c r="H382"/>
  <c r="F352" i="61"/>
  <c r="F172" l="1"/>
  <c r="H173" i="2"/>
  <c r="D393" i="3"/>
  <c r="F194" i="61" l="1"/>
  <c r="H197" i="2"/>
  <c r="D558" i="3"/>
  <c r="D572"/>
  <c r="H207" i="2"/>
  <c r="F204" i="61"/>
  <c r="D540" i="3"/>
  <c r="H192" i="2"/>
  <c r="F190" i="61"/>
  <c r="F189" s="1"/>
  <c r="F188" s="1"/>
  <c r="F187" s="1"/>
  <c r="G189"/>
  <c r="G188" s="1"/>
  <c r="G187" s="1"/>
  <c r="H189"/>
  <c r="H188" s="1"/>
  <c r="H187" s="1"/>
  <c r="F29" l="1"/>
  <c r="H46" i="2"/>
  <c r="D619" i="3"/>
  <c r="F33" i="61"/>
  <c r="H29" i="2"/>
  <c r="D627" i="3"/>
  <c r="I302" i="2" l="1"/>
  <c r="J302"/>
  <c r="H302"/>
  <c r="G263" i="61" l="1"/>
  <c r="H263"/>
  <c r="F263"/>
  <c r="F30" i="3" l="1"/>
  <c r="E30"/>
  <c r="J38" i="2"/>
  <c r="I38"/>
  <c r="F632" i="3"/>
  <c r="E632"/>
  <c r="D194" l="1"/>
  <c r="F194"/>
  <c r="E194"/>
  <c r="H737" i="2"/>
  <c r="J737"/>
  <c r="I737"/>
  <c r="F634" i="61"/>
  <c r="H634"/>
  <c r="G634"/>
  <c r="F144" i="3" l="1"/>
  <c r="E144"/>
  <c r="J609" i="2"/>
  <c r="I609"/>
  <c r="H548" i="61"/>
  <c r="G548"/>
  <c r="F219" i="3"/>
  <c r="E219"/>
  <c r="J668" i="2"/>
  <c r="I668"/>
  <c r="H502" i="61"/>
  <c r="G502"/>
  <c r="F154" i="3"/>
  <c r="E154"/>
  <c r="J695" i="2"/>
  <c r="I695"/>
  <c r="H559" i="61"/>
  <c r="G559"/>
  <c r="F225" i="3"/>
  <c r="E225"/>
  <c r="J727" i="2"/>
  <c r="J726" s="1"/>
  <c r="J725" s="1"/>
  <c r="I727"/>
  <c r="I726" s="1"/>
  <c r="I725" s="1"/>
  <c r="H588" i="61"/>
  <c r="G588"/>
  <c r="H35"/>
  <c r="G35"/>
  <c r="J31" i="2"/>
  <c r="I31"/>
  <c r="F629" i="3"/>
  <c r="E629"/>
  <c r="F627"/>
  <c r="E627"/>
  <c r="J29" i="2"/>
  <c r="I29"/>
  <c r="H33" i="61"/>
  <c r="G33"/>
  <c r="F621" i="3"/>
  <c r="E621"/>
  <c r="J55" i="2"/>
  <c r="I55"/>
  <c r="H45" i="61"/>
  <c r="G45"/>
  <c r="F619" i="3"/>
  <c r="E619"/>
  <c r="J46" i="2"/>
  <c r="I46"/>
  <c r="H29" i="61"/>
  <c r="G29"/>
  <c r="J756" i="2"/>
  <c r="J755" s="1"/>
  <c r="I756"/>
  <c r="I755" s="1"/>
  <c r="H57" i="61"/>
  <c r="H56" s="1"/>
  <c r="G57"/>
  <c r="G56" s="1"/>
  <c r="H62"/>
  <c r="G62"/>
  <c r="H93"/>
  <c r="G93"/>
  <c r="J89" i="2"/>
  <c r="I89"/>
  <c r="F611" i="3"/>
  <c r="E611"/>
  <c r="F614"/>
  <c r="E614"/>
  <c r="J92" i="2"/>
  <c r="I92"/>
  <c r="H96" i="61"/>
  <c r="G96"/>
  <c r="F607" i="3"/>
  <c r="E607"/>
  <c r="J129" i="2"/>
  <c r="I129"/>
  <c r="H129" i="61"/>
  <c r="G129"/>
  <c r="H448"/>
  <c r="G448"/>
  <c r="H410"/>
  <c r="G410"/>
  <c r="F49" i="3"/>
  <c r="E49"/>
  <c r="J498" i="2"/>
  <c r="I498"/>
  <c r="I499"/>
  <c r="J481"/>
  <c r="I481"/>
  <c r="H395" i="61"/>
  <c r="G395"/>
  <c r="E303" i="3"/>
  <c r="F303"/>
  <c r="D303"/>
  <c r="F86" l="1"/>
  <c r="F85" s="1"/>
  <c r="E86"/>
  <c r="E85" s="1"/>
  <c r="D86"/>
  <c r="D85" s="1"/>
  <c r="J527" i="2"/>
  <c r="J526" s="1"/>
  <c r="I527"/>
  <c r="I526" s="1"/>
  <c r="H527"/>
  <c r="H526" s="1"/>
  <c r="F136" i="3" l="1"/>
  <c r="E136"/>
  <c r="D136"/>
  <c r="J601" i="2"/>
  <c r="I601"/>
  <c r="H601"/>
  <c r="F131" i="3"/>
  <c r="E131"/>
  <c r="J596" i="2"/>
  <c r="I596"/>
  <c r="G536" i="61"/>
  <c r="H536"/>
  <c r="G541"/>
  <c r="H541"/>
  <c r="F541"/>
  <c r="F447"/>
  <c r="F449"/>
  <c r="G449"/>
  <c r="G447" s="1"/>
  <c r="H449"/>
  <c r="H447" s="1"/>
  <c r="F56" l="1"/>
  <c r="H755" i="2"/>
  <c r="E61" i="1" l="1"/>
  <c r="F205" i="3"/>
  <c r="E205"/>
  <c r="D205"/>
  <c r="J748" i="2"/>
  <c r="I748"/>
  <c r="H748"/>
  <c r="G644" i="61"/>
  <c r="H644"/>
  <c r="F644"/>
  <c r="D607" i="3" l="1"/>
  <c r="H129" i="2"/>
  <c r="F129" i="61"/>
  <c r="F369" i="3"/>
  <c r="E369"/>
  <c r="D369"/>
  <c r="J329" i="2"/>
  <c r="I329"/>
  <c r="H329"/>
  <c r="G308" i="61"/>
  <c r="H308"/>
  <c r="F308"/>
  <c r="D364" i="3"/>
  <c r="H324" i="2"/>
  <c r="F304" i="61"/>
  <c r="F394" i="3" l="1"/>
  <c r="E394"/>
  <c r="D394"/>
  <c r="J174" i="2"/>
  <c r="I174"/>
  <c r="H174"/>
  <c r="H173" i="61"/>
  <c r="G173"/>
  <c r="F173"/>
  <c r="D407" i="3" l="1"/>
  <c r="H187" i="2"/>
  <c r="F186" i="61"/>
  <c r="D543" i="3"/>
  <c r="H404" i="2"/>
  <c r="F370" i="61"/>
  <c r="H694" i="2"/>
  <c r="D219" i="3"/>
  <c r="H668" i="2"/>
  <c r="F502" i="61"/>
  <c r="H286" l="1"/>
  <c r="G286"/>
  <c r="F286"/>
  <c r="F35" l="1"/>
  <c r="H31" i="2"/>
  <c r="D629" i="3"/>
  <c r="D225"/>
  <c r="H727" i="2"/>
  <c r="H726" s="1"/>
  <c r="H725" s="1"/>
  <c r="F588" i="61"/>
  <c r="F200" i="3" l="1"/>
  <c r="E200"/>
  <c r="D200"/>
  <c r="J743" i="2"/>
  <c r="I743"/>
  <c r="H743"/>
  <c r="G640" i="61"/>
  <c r="H640"/>
  <c r="F640"/>
  <c r="E393" i="3" l="1"/>
  <c r="I173" i="2"/>
  <c r="G172" i="61"/>
  <c r="F325" i="3" l="1"/>
  <c r="E325"/>
  <c r="D328"/>
  <c r="E328"/>
  <c r="F328"/>
  <c r="J276" i="2"/>
  <c r="I276"/>
  <c r="F531" i="3"/>
  <c r="E531"/>
  <c r="D531"/>
  <c r="J395" i="2"/>
  <c r="H395"/>
  <c r="H363" i="61"/>
  <c r="G363"/>
  <c r="F363"/>
  <c r="F509" i="3" l="1"/>
  <c r="E509"/>
  <c r="D509"/>
  <c r="F507"/>
  <c r="E507"/>
  <c r="D507"/>
  <c r="J446" i="2"/>
  <c r="I446"/>
  <c r="H446"/>
  <c r="G622" i="61"/>
  <c r="H622"/>
  <c r="F622"/>
  <c r="F506" i="3" l="1"/>
  <c r="E506"/>
  <c r="D506"/>
  <c r="D518"/>
  <c r="H455" i="2"/>
  <c r="F629" i="61"/>
  <c r="F548" i="3" l="1"/>
  <c r="E548"/>
  <c r="D548"/>
  <c r="F546"/>
  <c r="E546"/>
  <c r="D546"/>
  <c r="F544"/>
  <c r="E544"/>
  <c r="D544"/>
  <c r="J409" i="2"/>
  <c r="I409"/>
  <c r="H409"/>
  <c r="J407"/>
  <c r="I407"/>
  <c r="H407"/>
  <c r="J405"/>
  <c r="I405"/>
  <c r="H405"/>
  <c r="D542" i="3" l="1"/>
  <c r="D541" s="1"/>
  <c r="F542"/>
  <c r="F541" s="1"/>
  <c r="E542"/>
  <c r="E541" s="1"/>
  <c r="H375" i="61" l="1"/>
  <c r="G375"/>
  <c r="F375"/>
  <c r="H373"/>
  <c r="G373"/>
  <c r="F373"/>
  <c r="H371"/>
  <c r="G371"/>
  <c r="F371"/>
  <c r="G452"/>
  <c r="H452"/>
  <c r="F282" i="3" l="1"/>
  <c r="E282"/>
  <c r="D282"/>
  <c r="J466" i="2"/>
  <c r="I466"/>
  <c r="H466"/>
  <c r="G655" i="61"/>
  <c r="H655"/>
  <c r="F655"/>
  <c r="F133" i="3" l="1"/>
  <c r="E133"/>
  <c r="E132" s="1"/>
  <c r="D132"/>
  <c r="F132"/>
  <c r="J598" i="2"/>
  <c r="I598"/>
  <c r="I597" s="1"/>
  <c r="H597"/>
  <c r="J597"/>
  <c r="G538" i="61"/>
  <c r="G537" s="1"/>
  <c r="H538"/>
  <c r="H537" s="1"/>
  <c r="F537"/>
  <c r="H203" l="1"/>
  <c r="G203"/>
  <c r="F203"/>
  <c r="H201"/>
  <c r="G201"/>
  <c r="F201"/>
  <c r="J206" i="2"/>
  <c r="I206"/>
  <c r="H206"/>
  <c r="J204"/>
  <c r="I204"/>
  <c r="H204"/>
  <c r="F571" i="3"/>
  <c r="E571"/>
  <c r="D571"/>
  <c r="H111" i="61"/>
  <c r="G111"/>
  <c r="H109"/>
  <c r="G109"/>
  <c r="J108" i="2"/>
  <c r="I108"/>
  <c r="J106"/>
  <c r="I106"/>
  <c r="H235" i="61"/>
  <c r="G235"/>
  <c r="F235"/>
  <c r="H233"/>
  <c r="G233"/>
  <c r="F233"/>
  <c r="H231"/>
  <c r="G231"/>
  <c r="F231"/>
  <c r="H229"/>
  <c r="G229"/>
  <c r="F229"/>
  <c r="H227"/>
  <c r="G227"/>
  <c r="F227"/>
  <c r="J243" i="2"/>
  <c r="I243"/>
  <c r="H243"/>
  <c r="J241"/>
  <c r="I241"/>
  <c r="H241"/>
  <c r="J239"/>
  <c r="I239"/>
  <c r="H239"/>
  <c r="J237"/>
  <c r="I237"/>
  <c r="H237"/>
  <c r="J235"/>
  <c r="I235"/>
  <c r="H235"/>
  <c r="H225" i="61"/>
  <c r="G225"/>
  <c r="F225"/>
  <c r="H223"/>
  <c r="G223"/>
  <c r="F223"/>
  <c r="H221"/>
  <c r="G221"/>
  <c r="F221"/>
  <c r="J232" i="2"/>
  <c r="I232"/>
  <c r="H232"/>
  <c r="J230"/>
  <c r="I230"/>
  <c r="H230"/>
  <c r="J228"/>
  <c r="I228"/>
  <c r="H228"/>
  <c r="H227" s="1"/>
  <c r="H151" i="61"/>
  <c r="H150" s="1"/>
  <c r="G151"/>
  <c r="G150" s="1"/>
  <c r="F151"/>
  <c r="F150" s="1"/>
  <c r="J227" i="2" l="1"/>
  <c r="I227"/>
  <c r="G220" i="61"/>
  <c r="G219" s="1"/>
  <c r="H220"/>
  <c r="F220"/>
  <c r="H312" i="2"/>
  <c r="H555" i="61" l="1"/>
  <c r="H554" s="1"/>
  <c r="G555"/>
  <c r="G554" s="1"/>
  <c r="F203" i="3" l="1"/>
  <c r="F202" s="1"/>
  <c r="E203"/>
  <c r="E202" s="1"/>
  <c r="D203"/>
  <c r="D202" s="1"/>
  <c r="J746" i="2"/>
  <c r="J745" s="1"/>
  <c r="I746"/>
  <c r="I745" s="1"/>
  <c r="H746"/>
  <c r="H745" s="1"/>
  <c r="H642" i="61"/>
  <c r="G642"/>
  <c r="F642"/>
  <c r="H563" l="1"/>
  <c r="G563"/>
  <c r="F563"/>
  <c r="H562"/>
  <c r="G562"/>
  <c r="H561"/>
  <c r="G561"/>
  <c r="G560" s="1"/>
  <c r="H558"/>
  <c r="G558"/>
  <c r="F558"/>
  <c r="F158" i="3"/>
  <c r="E158"/>
  <c r="D158"/>
  <c r="F157"/>
  <c r="E157"/>
  <c r="F156"/>
  <c r="E156"/>
  <c r="E153"/>
  <c r="D153"/>
  <c r="F153"/>
  <c r="D166"/>
  <c r="E166"/>
  <c r="F166"/>
  <c r="I698" i="2"/>
  <c r="J698"/>
  <c r="I697"/>
  <c r="J697"/>
  <c r="F171" i="3"/>
  <c r="E171"/>
  <c r="J643" i="2"/>
  <c r="I643"/>
  <c r="H471" i="61"/>
  <c r="G471"/>
  <c r="G475"/>
  <c r="H475"/>
  <c r="D155" i="3" l="1"/>
  <c r="D148" s="1"/>
  <c r="F560" i="61"/>
  <c r="E155" i="3"/>
  <c r="E148" s="1"/>
  <c r="F155"/>
  <c r="F148" s="1"/>
  <c r="H560" i="61"/>
  <c r="H411"/>
  <c r="G411"/>
  <c r="F411"/>
  <c r="H409"/>
  <c r="G409"/>
  <c r="F409"/>
  <c r="H407"/>
  <c r="G407"/>
  <c r="F407"/>
  <c r="J499" i="2"/>
  <c r="H499"/>
  <c r="J497"/>
  <c r="I497"/>
  <c r="H497"/>
  <c r="J495"/>
  <c r="I495"/>
  <c r="I494" s="1"/>
  <c r="H495"/>
  <c r="J494" l="1"/>
  <c r="H494"/>
  <c r="H213" i="61"/>
  <c r="H212" s="1"/>
  <c r="G213"/>
  <c r="G212" s="1"/>
  <c r="F251" i="3"/>
  <c r="F250" s="1"/>
  <c r="E251"/>
  <c r="E250" s="1"/>
  <c r="D251"/>
  <c r="D250" s="1"/>
  <c r="J146" i="2" l="1"/>
  <c r="J145" s="1"/>
  <c r="J144" s="1"/>
  <c r="J143" s="1"/>
  <c r="J142" s="1"/>
  <c r="I146"/>
  <c r="I145" s="1"/>
  <c r="I144" s="1"/>
  <c r="I143" s="1"/>
  <c r="I142" s="1"/>
  <c r="H146"/>
  <c r="H145" s="1"/>
  <c r="H144" s="1"/>
  <c r="H143" s="1"/>
  <c r="H142" s="1"/>
  <c r="H148" i="61"/>
  <c r="H147" s="1"/>
  <c r="H146" s="1"/>
  <c r="H145" s="1"/>
  <c r="G148"/>
  <c r="G147" s="1"/>
  <c r="G146" s="1"/>
  <c r="G145" s="1"/>
  <c r="F148"/>
  <c r="F147" s="1"/>
  <c r="F146" s="1"/>
  <c r="F145" s="1"/>
  <c r="H626" l="1"/>
  <c r="G626"/>
  <c r="F626"/>
  <c r="H624"/>
  <c r="G624"/>
  <c r="F624"/>
  <c r="J451" i="2"/>
  <c r="I451"/>
  <c r="J449"/>
  <c r="I449"/>
  <c r="D351" i="3"/>
  <c r="D349"/>
  <c r="H311" i="2"/>
  <c r="H309"/>
  <c r="H536" l="1"/>
  <c r="F443" i="61"/>
  <c r="H460" l="1"/>
  <c r="J555" i="2"/>
  <c r="F109" i="3"/>
  <c r="F51" i="61" l="1"/>
  <c r="H61" i="2"/>
  <c r="I45"/>
  <c r="J45"/>
  <c r="H45"/>
  <c r="H587" i="61" l="1"/>
  <c r="G587"/>
  <c r="F587"/>
  <c r="H504"/>
  <c r="G504"/>
  <c r="F504"/>
  <c r="J670" i="2"/>
  <c r="I670"/>
  <c r="H670"/>
  <c r="H501" i="61"/>
  <c r="G501"/>
  <c r="F501"/>
  <c r="J667" i="2"/>
  <c r="I667"/>
  <c r="H667"/>
  <c r="H499" i="61"/>
  <c r="G499"/>
  <c r="F499"/>
  <c r="H497"/>
  <c r="G497"/>
  <c r="F497"/>
  <c r="H495"/>
  <c r="G495"/>
  <c r="F495"/>
  <c r="H493"/>
  <c r="G493"/>
  <c r="F493"/>
  <c r="J664" i="2"/>
  <c r="I664"/>
  <c r="H664"/>
  <c r="J662"/>
  <c r="I662"/>
  <c r="J660"/>
  <c r="I660"/>
  <c r="J658"/>
  <c r="I658"/>
  <c r="H658"/>
  <c r="H637" i="61"/>
  <c r="G637"/>
  <c r="F637"/>
  <c r="F633" s="1"/>
  <c r="J740" i="2"/>
  <c r="I740"/>
  <c r="H740"/>
  <c r="H736" s="1"/>
  <c r="H735" s="1"/>
  <c r="H572" i="61"/>
  <c r="G572"/>
  <c r="F572"/>
  <c r="H570"/>
  <c r="G570"/>
  <c r="F570"/>
  <c r="J709" i="2"/>
  <c r="I709"/>
  <c r="H709"/>
  <c r="J707"/>
  <c r="I707"/>
  <c r="H707"/>
  <c r="J642"/>
  <c r="I642"/>
  <c r="H642"/>
  <c r="J640"/>
  <c r="I640"/>
  <c r="H640"/>
  <c r="J638"/>
  <c r="I638"/>
  <c r="H638"/>
  <c r="J699"/>
  <c r="I699"/>
  <c r="J696"/>
  <c r="I696"/>
  <c r="H696"/>
  <c r="J694"/>
  <c r="I694"/>
  <c r="F197" i="3"/>
  <c r="E197"/>
  <c r="D197"/>
  <c r="H480" i="61"/>
  <c r="G480"/>
  <c r="F480"/>
  <c r="J649" i="2"/>
  <c r="J648" s="1"/>
  <c r="I649"/>
  <c r="I648" s="1"/>
  <c r="H649"/>
  <c r="H648" s="1"/>
  <c r="E190" i="3"/>
  <c r="E189" s="1"/>
  <c r="F190"/>
  <c r="F189" s="1"/>
  <c r="D190"/>
  <c r="D189" s="1"/>
  <c r="J637" i="2" l="1"/>
  <c r="I637"/>
  <c r="H637"/>
  <c r="I689"/>
  <c r="J689"/>
  <c r="H689"/>
  <c r="H633" i="61"/>
  <c r="H632" s="1"/>
  <c r="J736" i="2"/>
  <c r="J735" s="1"/>
  <c r="G633" i="61"/>
  <c r="G632" s="1"/>
  <c r="I736" i="2"/>
  <c r="I735" s="1"/>
  <c r="G574" i="61"/>
  <c r="G553" s="1"/>
  <c r="H574"/>
  <c r="H553" s="1"/>
  <c r="F574"/>
  <c r="F553" s="1"/>
  <c r="F182" i="3" l="1"/>
  <c r="F181" s="1"/>
  <c r="E182"/>
  <c r="E181" s="1"/>
  <c r="D182"/>
  <c r="D181" s="1"/>
  <c r="F427" l="1"/>
  <c r="E427"/>
  <c r="D427"/>
  <c r="F425"/>
  <c r="E425"/>
  <c r="D425"/>
  <c r="F433"/>
  <c r="E433"/>
  <c r="D433"/>
  <c r="F431"/>
  <c r="E431"/>
  <c r="D431"/>
  <c r="D430" s="1"/>
  <c r="H515" i="61"/>
  <c r="G515"/>
  <c r="F515"/>
  <c r="H513"/>
  <c r="H512" s="1"/>
  <c r="G513"/>
  <c r="F513"/>
  <c r="I683" i="2"/>
  <c r="J683"/>
  <c r="H683"/>
  <c r="I681"/>
  <c r="J681"/>
  <c r="H681"/>
  <c r="H680" s="1"/>
  <c r="J677"/>
  <c r="I677"/>
  <c r="H677"/>
  <c r="J675"/>
  <c r="I675"/>
  <c r="H675"/>
  <c r="F430" i="3" l="1"/>
  <c r="E430"/>
  <c r="I680" i="2"/>
  <c r="J680"/>
  <c r="J679" s="1"/>
  <c r="F512" i="61"/>
  <c r="G512"/>
  <c r="E424" i="3"/>
  <c r="F424"/>
  <c r="D424"/>
  <c r="D429"/>
  <c r="F429"/>
  <c r="E429"/>
  <c r="H679" i="2"/>
  <c r="I679"/>
  <c r="F423" i="3" l="1"/>
  <c r="E423"/>
  <c r="D423"/>
  <c r="I522" i="2"/>
  <c r="J522"/>
  <c r="H522"/>
  <c r="G431" i="61"/>
  <c r="H431"/>
  <c r="F431"/>
  <c r="H549"/>
  <c r="G549"/>
  <c r="F549"/>
  <c r="J610" i="2"/>
  <c r="I610"/>
  <c r="H610"/>
  <c r="E145" i="3"/>
  <c r="F145"/>
  <c r="D145"/>
  <c r="H542" i="61"/>
  <c r="G542"/>
  <c r="F542"/>
  <c r="H540"/>
  <c r="G540"/>
  <c r="F540"/>
  <c r="J602" i="2"/>
  <c r="I602"/>
  <c r="H602"/>
  <c r="J600"/>
  <c r="I600"/>
  <c r="H600"/>
  <c r="H466" i="61"/>
  <c r="G466"/>
  <c r="F466"/>
  <c r="J562" i="2"/>
  <c r="I562"/>
  <c r="H562"/>
  <c r="H531" i="61"/>
  <c r="G531"/>
  <c r="F531"/>
  <c r="J589" i="2"/>
  <c r="I589"/>
  <c r="H589"/>
  <c r="H453" i="61"/>
  <c r="G453"/>
  <c r="F453"/>
  <c r="H451"/>
  <c r="G451"/>
  <c r="F451"/>
  <c r="J547" i="2"/>
  <c r="I547"/>
  <c r="H547"/>
  <c r="J545"/>
  <c r="I545"/>
  <c r="H545"/>
  <c r="H540" s="1"/>
  <c r="H435" i="61"/>
  <c r="G435"/>
  <c r="F435"/>
  <c r="J540" i="2" l="1"/>
  <c r="I540"/>
  <c r="J579"/>
  <c r="I579"/>
  <c r="H579"/>
  <c r="H429" i="61"/>
  <c r="G429"/>
  <c r="F429"/>
  <c r="H427"/>
  <c r="G427"/>
  <c r="F427"/>
  <c r="H425"/>
  <c r="G425"/>
  <c r="F425"/>
  <c r="J519" i="2"/>
  <c r="I519"/>
  <c r="H519"/>
  <c r="J517"/>
  <c r="I517"/>
  <c r="H517"/>
  <c r="J515"/>
  <c r="I515"/>
  <c r="H515"/>
  <c r="H421" i="61"/>
  <c r="G421"/>
  <c r="F421"/>
  <c r="J510" i="2"/>
  <c r="I510"/>
  <c r="H510"/>
  <c r="E61" i="3"/>
  <c r="F61"/>
  <c r="D61"/>
  <c r="H419" i="61"/>
  <c r="G419"/>
  <c r="F419"/>
  <c r="H417"/>
  <c r="G417"/>
  <c r="F417"/>
  <c r="J508" i="2"/>
  <c r="I508"/>
  <c r="H508"/>
  <c r="J506"/>
  <c r="I506"/>
  <c r="H506"/>
  <c r="H622"/>
  <c r="I622"/>
  <c r="H505" l="1"/>
  <c r="J505"/>
  <c r="I505"/>
  <c r="H402" i="61"/>
  <c r="G402"/>
  <c r="F402"/>
  <c r="H400"/>
  <c r="G400"/>
  <c r="F400"/>
  <c r="J489" i="2"/>
  <c r="I489"/>
  <c r="H489"/>
  <c r="J487"/>
  <c r="I487"/>
  <c r="H487"/>
  <c r="H394" i="61"/>
  <c r="G394"/>
  <c r="F394"/>
  <c r="H392"/>
  <c r="G392"/>
  <c r="F392"/>
  <c r="J480" i="2"/>
  <c r="I480"/>
  <c r="H480"/>
  <c r="H477" s="1"/>
  <c r="J478"/>
  <c r="I478"/>
  <c r="H478"/>
  <c r="G391" i="61" l="1"/>
  <c r="J477" i="2"/>
  <c r="I477"/>
  <c r="H391" i="61"/>
  <c r="F391"/>
  <c r="H486" i="2"/>
  <c r="J486"/>
  <c r="I486"/>
  <c r="H591" i="61" l="1"/>
  <c r="H590" s="1"/>
  <c r="G591"/>
  <c r="G590" s="1"/>
  <c r="F591"/>
  <c r="F590" s="1"/>
  <c r="J730" i="2"/>
  <c r="J729" s="1"/>
  <c r="I730"/>
  <c r="I729" s="1"/>
  <c r="H730"/>
  <c r="H729" s="1"/>
  <c r="D604" i="3"/>
  <c r="D596"/>
  <c r="F484" i="61"/>
  <c r="H442"/>
  <c r="H441" s="1"/>
  <c r="G442"/>
  <c r="G441" s="1"/>
  <c r="F442"/>
  <c r="F441" s="1"/>
  <c r="J535" i="2"/>
  <c r="J534" s="1"/>
  <c r="I535"/>
  <c r="I534" s="1"/>
  <c r="H535"/>
  <c r="H534" s="1"/>
  <c r="H357" i="61"/>
  <c r="G357"/>
  <c r="F357"/>
  <c r="H355"/>
  <c r="G355"/>
  <c r="F355"/>
  <c r="H353"/>
  <c r="G353"/>
  <c r="F353"/>
  <c r="H351"/>
  <c r="G351"/>
  <c r="F351"/>
  <c r="H349"/>
  <c r="G349"/>
  <c r="F349"/>
  <c r="H347"/>
  <c r="G347"/>
  <c r="F347"/>
  <c r="J378" i="2"/>
  <c r="I378"/>
  <c r="H378"/>
  <c r="J376"/>
  <c r="I376"/>
  <c r="H376"/>
  <c r="H344" i="61"/>
  <c r="G344"/>
  <c r="F344"/>
  <c r="H342"/>
  <c r="G342"/>
  <c r="F342"/>
  <c r="H339"/>
  <c r="G339"/>
  <c r="H336"/>
  <c r="G336"/>
  <c r="F336"/>
  <c r="H334"/>
  <c r="G334"/>
  <c r="F334"/>
  <c r="H331"/>
  <c r="G331"/>
  <c r="F331"/>
  <c r="H329"/>
  <c r="G329"/>
  <c r="F329"/>
  <c r="H324"/>
  <c r="G324"/>
  <c r="F324"/>
  <c r="J388" i="2"/>
  <c r="I388"/>
  <c r="H388"/>
  <c r="J386"/>
  <c r="I386"/>
  <c r="H386"/>
  <c r="J383"/>
  <c r="I383"/>
  <c r="H383"/>
  <c r="J381"/>
  <c r="I381"/>
  <c r="H381"/>
  <c r="J372"/>
  <c r="I372"/>
  <c r="H372"/>
  <c r="J370"/>
  <c r="I370"/>
  <c r="H370"/>
  <c r="J363"/>
  <c r="J362" s="1"/>
  <c r="I363"/>
  <c r="I362" s="1"/>
  <c r="H363"/>
  <c r="H362" s="1"/>
  <c r="J360"/>
  <c r="J359" s="1"/>
  <c r="I360"/>
  <c r="I359" s="1"/>
  <c r="H360"/>
  <c r="H359" s="1"/>
  <c r="J356"/>
  <c r="J355" s="1"/>
  <c r="I356"/>
  <c r="I355" s="1"/>
  <c r="H356"/>
  <c r="H355" s="1"/>
  <c r="J353"/>
  <c r="I353"/>
  <c r="H353"/>
  <c r="J348"/>
  <c r="I348"/>
  <c r="H348"/>
  <c r="E495" i="3"/>
  <c r="F495"/>
  <c r="D495"/>
  <c r="F457"/>
  <c r="E457"/>
  <c r="D457"/>
  <c r="F455"/>
  <c r="E455"/>
  <c r="D455"/>
  <c r="F451"/>
  <c r="E451"/>
  <c r="F449"/>
  <c r="E449"/>
  <c r="F444"/>
  <c r="F443" s="1"/>
  <c r="F442" s="1"/>
  <c r="E444"/>
  <c r="E443" s="1"/>
  <c r="E442" s="1"/>
  <c r="D444"/>
  <c r="D443" s="1"/>
  <c r="D442" s="1"/>
  <c r="F440"/>
  <c r="E440"/>
  <c r="F438"/>
  <c r="E438"/>
  <c r="J125" i="2"/>
  <c r="I125"/>
  <c r="H125"/>
  <c r="J123"/>
  <c r="I123"/>
  <c r="H123"/>
  <c r="J119"/>
  <c r="I119"/>
  <c r="J117"/>
  <c r="I117"/>
  <c r="J112"/>
  <c r="I112"/>
  <c r="H112"/>
  <c r="H108"/>
  <c r="H106"/>
  <c r="H385" l="1"/>
  <c r="D448" i="3"/>
  <c r="D447" s="1"/>
  <c r="J358" i="2"/>
  <c r="I385"/>
  <c r="H375"/>
  <c r="D454" i="3"/>
  <c r="D453" s="1"/>
  <c r="E454"/>
  <c r="E453" s="1"/>
  <c r="E448"/>
  <c r="E447" s="1"/>
  <c r="I366" i="2"/>
  <c r="I365" s="1"/>
  <c r="H380"/>
  <c r="J385"/>
  <c r="I375"/>
  <c r="J347"/>
  <c r="J346" s="1"/>
  <c r="J366"/>
  <c r="J365" s="1"/>
  <c r="E437" i="3"/>
  <c r="F448"/>
  <c r="F447" s="1"/>
  <c r="F437"/>
  <c r="H366" i="2"/>
  <c r="H365" s="1"/>
  <c r="G346" i="61"/>
  <c r="H347" i="2"/>
  <c r="H346" s="1"/>
  <c r="H358"/>
  <c r="J380"/>
  <c r="F454" i="3"/>
  <c r="F453" s="1"/>
  <c r="D437"/>
  <c r="I347" i="2"/>
  <c r="I346" s="1"/>
  <c r="I358"/>
  <c r="I380"/>
  <c r="J375"/>
  <c r="F346" i="61"/>
  <c r="H346"/>
  <c r="F372" i="3"/>
  <c r="F371" s="1"/>
  <c r="E372"/>
  <c r="E371" s="1"/>
  <c r="D372"/>
  <c r="D371" s="1"/>
  <c r="F367"/>
  <c r="F366" s="1"/>
  <c r="E367"/>
  <c r="E366" s="1"/>
  <c r="D367"/>
  <c r="D366" s="1"/>
  <c r="F363"/>
  <c r="F362" s="1"/>
  <c r="E363"/>
  <c r="E362" s="1"/>
  <c r="D363"/>
  <c r="D362" s="1"/>
  <c r="F360"/>
  <c r="E360"/>
  <c r="D360"/>
  <c r="F358"/>
  <c r="E358"/>
  <c r="D358"/>
  <c r="F354"/>
  <c r="E354"/>
  <c r="D354"/>
  <c r="F349"/>
  <c r="F348" s="1"/>
  <c r="E349"/>
  <c r="E348" s="1"/>
  <c r="D348"/>
  <c r="H327" i="2"/>
  <c r="H326" s="1"/>
  <c r="I327"/>
  <c r="J327"/>
  <c r="H332"/>
  <c r="H331" s="1"/>
  <c r="I332"/>
  <c r="I331" s="1"/>
  <c r="J332"/>
  <c r="J331" s="1"/>
  <c r="H374" l="1"/>
  <c r="D365" i="3"/>
  <c r="F357"/>
  <c r="F356" s="1"/>
  <c r="I374" i="2"/>
  <c r="E365" i="3"/>
  <c r="F351"/>
  <c r="F347" s="1"/>
  <c r="J374" i="2"/>
  <c r="D357" i="3"/>
  <c r="D356" s="1"/>
  <c r="D347"/>
  <c r="E357"/>
  <c r="E356" s="1"/>
  <c r="E351"/>
  <c r="E347" s="1"/>
  <c r="F365"/>
  <c r="F337"/>
  <c r="F336" s="1"/>
  <c r="E337"/>
  <c r="E336" s="1"/>
  <c r="D337"/>
  <c r="D336" s="1"/>
  <c r="F334"/>
  <c r="F333" s="1"/>
  <c r="E334"/>
  <c r="E333" s="1"/>
  <c r="D334"/>
  <c r="D333" s="1"/>
  <c r="F330"/>
  <c r="E330"/>
  <c r="D330"/>
  <c r="F322"/>
  <c r="E322"/>
  <c r="D322"/>
  <c r="F320"/>
  <c r="E320"/>
  <c r="D320"/>
  <c r="F318"/>
  <c r="E318"/>
  <c r="D318"/>
  <c r="F314"/>
  <c r="F313" s="1"/>
  <c r="E314"/>
  <c r="E313" s="1"/>
  <c r="D314"/>
  <c r="D313" s="1"/>
  <c r="D309"/>
  <c r="F309"/>
  <c r="E309"/>
  <c r="J265" i="2"/>
  <c r="J264" s="1"/>
  <c r="I265"/>
  <c r="I264" s="1"/>
  <c r="H265"/>
  <c r="H264" s="1"/>
  <c r="H269"/>
  <c r="I269"/>
  <c r="J269"/>
  <c r="H271"/>
  <c r="I271"/>
  <c r="J271"/>
  <c r="H273"/>
  <c r="I273"/>
  <c r="J273"/>
  <c r="H279"/>
  <c r="I279"/>
  <c r="J279"/>
  <c r="H281"/>
  <c r="I281"/>
  <c r="J281"/>
  <c r="F317" i="3" l="1"/>
  <c r="D308"/>
  <c r="F332"/>
  <c r="F308"/>
  <c r="D332"/>
  <c r="D324"/>
  <c r="E324"/>
  <c r="F324"/>
  <c r="F316" s="1"/>
  <c r="D317"/>
  <c r="E317"/>
  <c r="E308"/>
  <c r="E332"/>
  <c r="J275" i="2"/>
  <c r="I275"/>
  <c r="H275"/>
  <c r="E316" i="3" l="1"/>
  <c r="D316"/>
  <c r="E622"/>
  <c r="F622"/>
  <c r="G44" i="61"/>
  <c r="H44"/>
  <c r="F44"/>
  <c r="E618" i="3"/>
  <c r="F618"/>
  <c r="D618"/>
  <c r="H162" i="61" l="1"/>
  <c r="G162"/>
  <c r="F162"/>
  <c r="H160"/>
  <c r="G160"/>
  <c r="F160"/>
  <c r="H158"/>
  <c r="G158"/>
  <c r="F158"/>
  <c r="H156"/>
  <c r="G156"/>
  <c r="F156"/>
  <c r="H185"/>
  <c r="G185"/>
  <c r="F185"/>
  <c r="H183"/>
  <c r="G183"/>
  <c r="F183"/>
  <c r="H181"/>
  <c r="G181"/>
  <c r="F181"/>
  <c r="H179"/>
  <c r="G179"/>
  <c r="F179"/>
  <c r="H177"/>
  <c r="G177"/>
  <c r="F177"/>
  <c r="H175"/>
  <c r="G175"/>
  <c r="F175"/>
  <c r="H171"/>
  <c r="G171"/>
  <c r="F171"/>
  <c r="H169"/>
  <c r="G169"/>
  <c r="F169"/>
  <c r="H167"/>
  <c r="G167"/>
  <c r="F167"/>
  <c r="J162" i="2"/>
  <c r="I162"/>
  <c r="H162"/>
  <c r="J160"/>
  <c r="I160"/>
  <c r="H160"/>
  <c r="J158"/>
  <c r="I158"/>
  <c r="H158"/>
  <c r="J156"/>
  <c r="I156"/>
  <c r="H156"/>
  <c r="J186"/>
  <c r="I186"/>
  <c r="H186"/>
  <c r="J184"/>
  <c r="I184"/>
  <c r="H184"/>
  <c r="J182"/>
  <c r="I182"/>
  <c r="H182"/>
  <c r="J180"/>
  <c r="I180"/>
  <c r="H180"/>
  <c r="J178"/>
  <c r="I178"/>
  <c r="H178"/>
  <c r="J176"/>
  <c r="I176"/>
  <c r="H176"/>
  <c r="J172"/>
  <c r="I172"/>
  <c r="H172"/>
  <c r="J170"/>
  <c r="I170"/>
  <c r="H170"/>
  <c r="J168"/>
  <c r="I168"/>
  <c r="H168"/>
  <c r="E406" i="3"/>
  <c r="F406"/>
  <c r="D406"/>
  <c r="F166" i="61" l="1"/>
  <c r="I167" i="2"/>
  <c r="I166" s="1"/>
  <c r="I165" s="1"/>
  <c r="J167"/>
  <c r="H167"/>
  <c r="H166" s="1"/>
  <c r="H166" i="61"/>
  <c r="G166"/>
  <c r="J166" i="2"/>
  <c r="H155"/>
  <c r="I155"/>
  <c r="J155"/>
  <c r="H207" i="61"/>
  <c r="G207"/>
  <c r="F207"/>
  <c r="H205"/>
  <c r="G205"/>
  <c r="F205"/>
  <c r="J211" i="2"/>
  <c r="I211"/>
  <c r="H211"/>
  <c r="J209"/>
  <c r="I209"/>
  <c r="H209"/>
  <c r="H199" i="61"/>
  <c r="G199"/>
  <c r="F199"/>
  <c r="J202" i="2"/>
  <c r="I202"/>
  <c r="H202"/>
  <c r="H197" i="61"/>
  <c r="G197"/>
  <c r="F197"/>
  <c r="H195"/>
  <c r="G195"/>
  <c r="F195"/>
  <c r="H193"/>
  <c r="G193"/>
  <c r="F193"/>
  <c r="J200" i="2"/>
  <c r="I200"/>
  <c r="H200"/>
  <c r="J198"/>
  <c r="I198"/>
  <c r="H198"/>
  <c r="J196"/>
  <c r="I196"/>
  <c r="H196"/>
  <c r="H141" i="61"/>
  <c r="G141"/>
  <c r="F141"/>
  <c r="H139"/>
  <c r="G139"/>
  <c r="F139"/>
  <c r="J138" i="2"/>
  <c r="I138"/>
  <c r="H138"/>
  <c r="J136"/>
  <c r="I136"/>
  <c r="H136"/>
  <c r="D563" i="3"/>
  <c r="E563"/>
  <c r="F563"/>
  <c r="D565"/>
  <c r="E565"/>
  <c r="F565"/>
  <c r="D559"/>
  <c r="E559"/>
  <c r="F559"/>
  <c r="H320" i="61"/>
  <c r="G320"/>
  <c r="F320"/>
  <c r="H318"/>
  <c r="G318"/>
  <c r="F318"/>
  <c r="J343" i="2"/>
  <c r="I343"/>
  <c r="H343"/>
  <c r="J341"/>
  <c r="I341"/>
  <c r="H341"/>
  <c r="H217" i="61" l="1"/>
  <c r="G217"/>
  <c r="F217"/>
  <c r="J223" i="2"/>
  <c r="I223"/>
  <c r="J221"/>
  <c r="I221"/>
  <c r="E248" i="3"/>
  <c r="F248"/>
  <c r="F246"/>
  <c r="E246"/>
  <c r="F235"/>
  <c r="E235"/>
  <c r="D235"/>
  <c r="F233"/>
  <c r="E233"/>
  <c r="D233"/>
  <c r="J72" i="2"/>
  <c r="I72"/>
  <c r="H72"/>
  <c r="J70"/>
  <c r="I70"/>
  <c r="H70"/>
  <c r="E245" i="3" l="1"/>
  <c r="D245"/>
  <c r="F245"/>
  <c r="H220" i="2"/>
  <c r="J220"/>
  <c r="I220"/>
  <c r="G245" i="61"/>
  <c r="G243"/>
  <c r="G241"/>
  <c r="G239"/>
  <c r="I254" i="2"/>
  <c r="I252"/>
  <c r="I250"/>
  <c r="I248"/>
  <c r="F366" i="61"/>
  <c r="F365" s="1"/>
  <c r="H365"/>
  <c r="G365"/>
  <c r="H361"/>
  <c r="G361"/>
  <c r="F361"/>
  <c r="H399" i="2"/>
  <c r="H398" s="1"/>
  <c r="H397" s="1"/>
  <c r="J398"/>
  <c r="J397" s="1"/>
  <c r="J393"/>
  <c r="J392" s="1"/>
  <c r="I392"/>
  <c r="H393"/>
  <c r="H392" s="1"/>
  <c r="D535" i="3"/>
  <c r="F360" i="61" l="1"/>
  <c r="G360"/>
  <c r="H360"/>
  <c r="H245"/>
  <c r="F245"/>
  <c r="H243"/>
  <c r="F243"/>
  <c r="H241"/>
  <c r="F241"/>
  <c r="H239"/>
  <c r="F239"/>
  <c r="J254" i="2"/>
  <c r="H254"/>
  <c r="J252"/>
  <c r="H252"/>
  <c r="J250"/>
  <c r="H250"/>
  <c r="J248"/>
  <c r="H248"/>
  <c r="H284" i="61"/>
  <c r="G284"/>
  <c r="F284"/>
  <c r="H282"/>
  <c r="G282"/>
  <c r="F282"/>
  <c r="H280"/>
  <c r="G280"/>
  <c r="F280"/>
  <c r="H278"/>
  <c r="G278"/>
  <c r="F278"/>
  <c r="J300" i="2"/>
  <c r="I300"/>
  <c r="H300"/>
  <c r="J298"/>
  <c r="I298"/>
  <c r="H298"/>
  <c r="J296"/>
  <c r="I296"/>
  <c r="H296"/>
  <c r="J294"/>
  <c r="I294"/>
  <c r="H294"/>
  <c r="H386" i="61"/>
  <c r="G386"/>
  <c r="F386"/>
  <c r="H384"/>
  <c r="G384"/>
  <c r="F384"/>
  <c r="J421" i="2"/>
  <c r="I421"/>
  <c r="H421"/>
  <c r="J419"/>
  <c r="I419"/>
  <c r="H419"/>
  <c r="H658" i="61"/>
  <c r="G658"/>
  <c r="F658"/>
  <c r="H656"/>
  <c r="G656"/>
  <c r="F656"/>
  <c r="H654"/>
  <c r="G654"/>
  <c r="F654"/>
  <c r="H652"/>
  <c r="G652"/>
  <c r="F652"/>
  <c r="H650"/>
  <c r="G650"/>
  <c r="F650"/>
  <c r="J470" i="2"/>
  <c r="I470"/>
  <c r="H470"/>
  <c r="J468"/>
  <c r="I468"/>
  <c r="H468"/>
  <c r="J465"/>
  <c r="I465"/>
  <c r="H465"/>
  <c r="J463"/>
  <c r="I463"/>
  <c r="H463"/>
  <c r="J461"/>
  <c r="I461"/>
  <c r="H461"/>
  <c r="H460" l="1"/>
  <c r="I460"/>
  <c r="J460"/>
  <c r="F649" i="61"/>
  <c r="G649"/>
  <c r="H649"/>
  <c r="F277"/>
  <c r="G277"/>
  <c r="H277"/>
  <c r="H293" i="2"/>
  <c r="H292" s="1"/>
  <c r="I293"/>
  <c r="J293"/>
  <c r="J292" s="1"/>
  <c r="I292"/>
  <c r="H467"/>
  <c r="I467"/>
  <c r="J467"/>
  <c r="E602" i="3"/>
  <c r="E601" s="1"/>
  <c r="D602"/>
  <c r="D601" s="1"/>
  <c r="F601"/>
  <c r="I767" i="2"/>
  <c r="I766" s="1"/>
  <c r="I765" s="1"/>
  <c r="I764" s="1"/>
  <c r="I763" s="1"/>
  <c r="H767"/>
  <c r="H766" s="1"/>
  <c r="H765" s="1"/>
  <c r="H764" s="1"/>
  <c r="H763" s="1"/>
  <c r="J766"/>
  <c r="J765" s="1"/>
  <c r="J764" s="1"/>
  <c r="J763" s="1"/>
  <c r="G664" i="61"/>
  <c r="G663" s="1"/>
  <c r="G662" s="1"/>
  <c r="G661" s="1"/>
  <c r="G660" s="1"/>
  <c r="F664"/>
  <c r="F663" s="1"/>
  <c r="F662" s="1"/>
  <c r="F661" s="1"/>
  <c r="F660" s="1"/>
  <c r="H663"/>
  <c r="H662" s="1"/>
  <c r="H661" s="1"/>
  <c r="H660" s="1"/>
  <c r="G64" i="1"/>
  <c r="F64"/>
  <c r="E64"/>
  <c r="E569" i="3" l="1"/>
  <c r="F569"/>
  <c r="D569"/>
  <c r="E567"/>
  <c r="F567"/>
  <c r="D567"/>
  <c r="F301" l="1"/>
  <c r="E301"/>
  <c r="D301"/>
  <c r="F299"/>
  <c r="E299"/>
  <c r="D299"/>
  <c r="F297"/>
  <c r="E297"/>
  <c r="D297"/>
  <c r="F295"/>
  <c r="E295"/>
  <c r="D295"/>
  <c r="E273"/>
  <c r="F273"/>
  <c r="D273"/>
  <c r="D294" l="1"/>
  <c r="E294"/>
  <c r="F294"/>
  <c r="F262"/>
  <c r="E262"/>
  <c r="D262"/>
  <c r="J577" i="2" l="1"/>
  <c r="I577"/>
  <c r="H577"/>
  <c r="J715" l="1"/>
  <c r="J714" s="1"/>
  <c r="I715"/>
  <c r="I714" s="1"/>
  <c r="H715"/>
  <c r="H714" s="1"/>
  <c r="J652" l="1"/>
  <c r="J651" s="1"/>
  <c r="I652"/>
  <c r="I651" s="1"/>
  <c r="H652"/>
  <c r="H651" s="1"/>
  <c r="H577" i="61"/>
  <c r="H576" s="1"/>
  <c r="G577"/>
  <c r="G576" s="1"/>
  <c r="F577"/>
  <c r="F576" s="1"/>
  <c r="F595" i="3"/>
  <c r="E595"/>
  <c r="D595"/>
  <c r="J565" i="2"/>
  <c r="J564" s="1"/>
  <c r="I565"/>
  <c r="I564" s="1"/>
  <c r="H565"/>
  <c r="H564" s="1"/>
  <c r="H483" i="61"/>
  <c r="H482" s="1"/>
  <c r="G483"/>
  <c r="G482" s="1"/>
  <c r="F483"/>
  <c r="F482" s="1"/>
  <c r="F603" i="3"/>
  <c r="E603"/>
  <c r="D603"/>
  <c r="J335" i="2"/>
  <c r="J334" s="1"/>
  <c r="I335"/>
  <c r="I334" s="1"/>
  <c r="H335"/>
  <c r="H334" s="1"/>
  <c r="H313" i="61"/>
  <c r="H312" s="1"/>
  <c r="G313"/>
  <c r="G312" s="1"/>
  <c r="F313"/>
  <c r="F312" s="1"/>
  <c r="F32" i="1" l="1"/>
  <c r="G32"/>
  <c r="I79" i="2"/>
  <c r="I78" s="1"/>
  <c r="I99"/>
  <c r="I96" s="1"/>
  <c r="I128"/>
  <c r="I127" s="1"/>
  <c r="I403"/>
  <c r="J403"/>
  <c r="I150"/>
  <c r="I149" s="1"/>
  <c r="I148" s="1"/>
  <c r="I147" s="1"/>
  <c r="I141" s="1"/>
  <c r="J150"/>
  <c r="J149" s="1"/>
  <c r="J148" s="1"/>
  <c r="J147" s="1"/>
  <c r="J141" s="1"/>
  <c r="I428"/>
  <c r="I427" s="1"/>
  <c r="J428"/>
  <c r="J427" s="1"/>
  <c r="I434"/>
  <c r="I432" s="1"/>
  <c r="I431" s="1"/>
  <c r="I430" s="1"/>
  <c r="J434"/>
  <c r="J432" s="1"/>
  <c r="J431" s="1"/>
  <c r="J430" s="1"/>
  <c r="I444"/>
  <c r="I443" s="1"/>
  <c r="J444"/>
  <c r="J443" s="1"/>
  <c r="I216"/>
  <c r="J216"/>
  <c r="J128"/>
  <c r="J127" s="1"/>
  <c r="J99"/>
  <c r="J96" s="1"/>
  <c r="J79"/>
  <c r="J78" s="1"/>
  <c r="I67"/>
  <c r="I66" s="1"/>
  <c r="J67"/>
  <c r="J66" s="1"/>
  <c r="I50"/>
  <c r="I49" s="1"/>
  <c r="J50"/>
  <c r="J49" s="1"/>
  <c r="I43"/>
  <c r="I42" s="1"/>
  <c r="J44"/>
  <c r="I28"/>
  <c r="J28"/>
  <c r="H128" i="61"/>
  <c r="G128"/>
  <c r="F128"/>
  <c r="H128" i="2"/>
  <c r="H503" i="61"/>
  <c r="G503"/>
  <c r="F503"/>
  <c r="J669" i="2"/>
  <c r="I669"/>
  <c r="H669"/>
  <c r="J666"/>
  <c r="I666"/>
  <c r="H666"/>
  <c r="H582" i="61"/>
  <c r="H581" s="1"/>
  <c r="G582"/>
  <c r="G581" s="1"/>
  <c r="F582"/>
  <c r="F581" s="1"/>
  <c r="J721" i="2"/>
  <c r="J720" s="1"/>
  <c r="I721"/>
  <c r="I720" s="1"/>
  <c r="H721"/>
  <c r="H720" s="1"/>
  <c r="J712"/>
  <c r="J711" s="1"/>
  <c r="I712"/>
  <c r="I711" s="1"/>
  <c r="H712"/>
  <c r="H711" s="1"/>
  <c r="H474" i="61"/>
  <c r="G474"/>
  <c r="F474"/>
  <c r="H472"/>
  <c r="G472"/>
  <c r="F472"/>
  <c r="H470"/>
  <c r="G470"/>
  <c r="F470"/>
  <c r="G469" l="1"/>
  <c r="H469"/>
  <c r="F469"/>
  <c r="J402" i="2"/>
  <c r="J401" s="1"/>
  <c r="J400" s="1"/>
  <c r="I402"/>
  <c r="I401" s="1"/>
  <c r="I400" s="1"/>
  <c r="H657"/>
  <c r="H656" s="1"/>
  <c r="H655" s="1"/>
  <c r="H154"/>
  <c r="J154"/>
  <c r="J153" s="1"/>
  <c r="J152" s="1"/>
  <c r="I154"/>
  <c r="I153" s="1"/>
  <c r="I152" s="1"/>
  <c r="I657"/>
  <c r="I656" s="1"/>
  <c r="I655" s="1"/>
  <c r="J165"/>
  <c r="I98"/>
  <c r="I97" s="1"/>
  <c r="J426"/>
  <c r="J425" s="1"/>
  <c r="J424" s="1"/>
  <c r="I426"/>
  <c r="I425" s="1"/>
  <c r="I424" s="1"/>
  <c r="J433"/>
  <c r="I433"/>
  <c r="J98"/>
  <c r="J97" s="1"/>
  <c r="I44"/>
  <c r="J43"/>
  <c r="J42" s="1"/>
  <c r="H706"/>
  <c r="I706"/>
  <c r="H636"/>
  <c r="J706"/>
  <c r="J657"/>
  <c r="J656" s="1"/>
  <c r="J655" s="1"/>
  <c r="J734" l="1"/>
  <c r="J733" s="1"/>
  <c r="J732" s="1"/>
  <c r="I734"/>
  <c r="I733" s="1"/>
  <c r="I732" s="1"/>
  <c r="I636"/>
  <c r="I635" s="1"/>
  <c r="I634" s="1"/>
  <c r="J636"/>
  <c r="J635" s="1"/>
  <c r="J634" s="1"/>
  <c r="J688"/>
  <c r="J687" s="1"/>
  <c r="J686" s="1"/>
  <c r="I688"/>
  <c r="I687" s="1"/>
  <c r="I686" s="1"/>
  <c r="H125" i="61"/>
  <c r="G125"/>
  <c r="F125"/>
  <c r="H123"/>
  <c r="G123"/>
  <c r="F123"/>
  <c r="H120"/>
  <c r="G120"/>
  <c r="F120"/>
  <c r="H118"/>
  <c r="G118"/>
  <c r="F118"/>
  <c r="H114"/>
  <c r="G114"/>
  <c r="F114"/>
  <c r="F111"/>
  <c r="F109"/>
  <c r="J111" i="2"/>
  <c r="J110" s="1"/>
  <c r="I111"/>
  <c r="I110" s="1"/>
  <c r="H111"/>
  <c r="H110" s="1"/>
  <c r="G192" i="61"/>
  <c r="J195" i="2"/>
  <c r="F576" i="3"/>
  <c r="E576"/>
  <c r="D576"/>
  <c r="F574"/>
  <c r="E574"/>
  <c r="D574"/>
  <c r="H510" i="61"/>
  <c r="G510"/>
  <c r="F510"/>
  <c r="H508"/>
  <c r="G508"/>
  <c r="F508"/>
  <c r="H135"/>
  <c r="G135"/>
  <c r="F135"/>
  <c r="J631" i="2"/>
  <c r="J630" s="1"/>
  <c r="I631"/>
  <c r="I630" s="1"/>
  <c r="I629" s="1"/>
  <c r="I628" s="1"/>
  <c r="I627" s="1"/>
  <c r="H631"/>
  <c r="H630" s="1"/>
  <c r="I195" l="1"/>
  <c r="H195"/>
  <c r="H192" i="61"/>
  <c r="F192"/>
  <c r="H122"/>
  <c r="H122" i="2"/>
  <c r="H121" s="1"/>
  <c r="F122" i="61"/>
  <c r="G122"/>
  <c r="J674" i="2"/>
  <c r="J673" s="1"/>
  <c r="H116"/>
  <c r="H115" s="1"/>
  <c r="I122"/>
  <c r="I121" s="1"/>
  <c r="J122"/>
  <c r="J121" s="1"/>
  <c r="D573" i="3"/>
  <c r="I116" i="2"/>
  <c r="I115" s="1"/>
  <c r="I105"/>
  <c r="I104"/>
  <c r="J104"/>
  <c r="J105"/>
  <c r="H674"/>
  <c r="H673" s="1"/>
  <c r="J208"/>
  <c r="J116"/>
  <c r="J115" s="1"/>
  <c r="E573" i="3"/>
  <c r="H208" i="2"/>
  <c r="I674"/>
  <c r="I673" s="1"/>
  <c r="I208"/>
  <c r="F573" i="3"/>
  <c r="H105" i="2"/>
  <c r="H104"/>
  <c r="H194" l="1"/>
  <c r="H193" s="1"/>
  <c r="I194"/>
  <c r="I193" s="1"/>
  <c r="J103"/>
  <c r="J102" s="1"/>
  <c r="J194"/>
  <c r="J193" s="1"/>
  <c r="H103"/>
  <c r="I103"/>
  <c r="I102" s="1"/>
  <c r="H403" l="1"/>
  <c r="H402" s="1"/>
  <c r="H401" l="1"/>
  <c r="H400" s="1"/>
  <c r="H191"/>
  <c r="H190" s="1"/>
  <c r="J191"/>
  <c r="J190" s="1"/>
  <c r="I191"/>
  <c r="I190" s="1"/>
  <c r="H369" i="61" l="1"/>
  <c r="G369"/>
  <c r="F369"/>
  <c r="F368" s="1"/>
  <c r="J189" i="2"/>
  <c r="J188" s="1"/>
  <c r="J164" s="1"/>
  <c r="I189"/>
  <c r="I188" s="1"/>
  <c r="I164" s="1"/>
  <c r="H189"/>
  <c r="H188" s="1"/>
  <c r="G368" i="61" l="1"/>
  <c r="G367" s="1"/>
  <c r="H368"/>
  <c r="H367" s="1"/>
  <c r="F367"/>
  <c r="J391" i="2"/>
  <c r="J390" s="1"/>
  <c r="I391"/>
  <c r="I390" s="1"/>
  <c r="H391"/>
  <c r="H390" s="1"/>
  <c r="F41" i="1"/>
  <c r="G41"/>
  <c r="E41"/>
  <c r="H323" i="61" l="1"/>
  <c r="H333"/>
  <c r="F333"/>
  <c r="H338"/>
  <c r="F338"/>
  <c r="G338"/>
  <c r="G323"/>
  <c r="G333"/>
  <c r="F323"/>
  <c r="H434" i="2"/>
  <c r="H620" i="61"/>
  <c r="G620"/>
  <c r="F620"/>
  <c r="H628"/>
  <c r="G628"/>
  <c r="F628"/>
  <c r="J454" i="2"/>
  <c r="J453" s="1"/>
  <c r="I454"/>
  <c r="I453" s="1"/>
  <c r="H454"/>
  <c r="H453" s="1"/>
  <c r="H273" i="61"/>
  <c r="G273"/>
  <c r="F273"/>
  <c r="H271"/>
  <c r="G271"/>
  <c r="F271"/>
  <c r="H268"/>
  <c r="G268"/>
  <c r="F268"/>
  <c r="H266"/>
  <c r="G266"/>
  <c r="F266"/>
  <c r="H261"/>
  <c r="G261"/>
  <c r="F261"/>
  <c r="H259"/>
  <c r="G259"/>
  <c r="F259"/>
  <c r="H257"/>
  <c r="G257"/>
  <c r="F257"/>
  <c r="J288" i="2"/>
  <c r="J287" s="1"/>
  <c r="I288"/>
  <c r="I287" s="1"/>
  <c r="H288"/>
  <c r="H287" s="1"/>
  <c r="J285"/>
  <c r="J284" s="1"/>
  <c r="I285"/>
  <c r="I284" s="1"/>
  <c r="H285"/>
  <c r="H284" s="1"/>
  <c r="G619" i="61" l="1"/>
  <c r="H619"/>
  <c r="F619"/>
  <c r="I345" i="2"/>
  <c r="J345"/>
  <c r="H322" i="61"/>
  <c r="I268" i="2"/>
  <c r="I267" s="1"/>
  <c r="H345"/>
  <c r="J283"/>
  <c r="G322" i="61"/>
  <c r="F322"/>
  <c r="H283" i="2"/>
  <c r="H268"/>
  <c r="H267" s="1"/>
  <c r="J268"/>
  <c r="J267" s="1"/>
  <c r="F256" i="61"/>
  <c r="G256"/>
  <c r="H256"/>
  <c r="I283" i="2"/>
  <c r="H215" i="61"/>
  <c r="G215"/>
  <c r="F215"/>
  <c r="J215" i="2"/>
  <c r="J214" s="1"/>
  <c r="I215"/>
  <c r="I214" s="1"/>
  <c r="H216"/>
  <c r="H76" i="61"/>
  <c r="G76"/>
  <c r="F76"/>
  <c r="H74"/>
  <c r="G74"/>
  <c r="F74"/>
  <c r="H67" i="2"/>
  <c r="H66" s="1"/>
  <c r="H72" i="61"/>
  <c r="G72"/>
  <c r="F72"/>
  <c r="H459"/>
  <c r="G459"/>
  <c r="F459"/>
  <c r="J554" i="2"/>
  <c r="I554"/>
  <c r="H554"/>
  <c r="H547" i="61"/>
  <c r="H546" s="1"/>
  <c r="G547"/>
  <c r="G546" s="1"/>
  <c r="F547"/>
  <c r="F546" s="1"/>
  <c r="J608" i="2"/>
  <c r="J607" s="1"/>
  <c r="I608"/>
  <c r="I607" s="1"/>
  <c r="H608"/>
  <c r="H607" s="1"/>
  <c r="H525" i="61"/>
  <c r="J582" i="2"/>
  <c r="J576" s="1"/>
  <c r="H535" i="61"/>
  <c r="G535"/>
  <c r="F535"/>
  <c r="J595" i="2"/>
  <c r="I595"/>
  <c r="H595"/>
  <c r="H529" i="61"/>
  <c r="G529"/>
  <c r="F529"/>
  <c r="H533"/>
  <c r="G533"/>
  <c r="F533"/>
  <c r="J592" i="2"/>
  <c r="I592"/>
  <c r="H592"/>
  <c r="H488" i="61"/>
  <c r="G488"/>
  <c r="F488"/>
  <c r="J571" i="2"/>
  <c r="I571"/>
  <c r="H571"/>
  <c r="H465" i="61"/>
  <c r="G465"/>
  <c r="F465"/>
  <c r="J561" i="2"/>
  <c r="J560" s="1"/>
  <c r="I561"/>
  <c r="I560" s="1"/>
  <c r="H561"/>
  <c r="H560" s="1"/>
  <c r="G525" i="61"/>
  <c r="F525"/>
  <c r="I582" i="2"/>
  <c r="I576" s="1"/>
  <c r="H582"/>
  <c r="H576" s="1"/>
  <c r="F112" i="3"/>
  <c r="E112"/>
  <c r="D112"/>
  <c r="F110"/>
  <c r="E110"/>
  <c r="D110"/>
  <c r="F108"/>
  <c r="E108"/>
  <c r="D108"/>
  <c r="J558" i="2"/>
  <c r="I558"/>
  <c r="H558"/>
  <c r="J556"/>
  <c r="I556"/>
  <c r="H556"/>
  <c r="H522" i="61"/>
  <c r="G522"/>
  <c r="F522"/>
  <c r="H520"/>
  <c r="G520"/>
  <c r="F520"/>
  <c r="H433"/>
  <c r="H406" s="1"/>
  <c r="G433"/>
  <c r="G406" s="1"/>
  <c r="F433"/>
  <c r="F406" s="1"/>
  <c r="J524" i="2"/>
  <c r="I524"/>
  <c r="H524"/>
  <c r="E83" i="3"/>
  <c r="F83"/>
  <c r="D83"/>
  <c r="F38"/>
  <c r="E38"/>
  <c r="D38"/>
  <c r="F36"/>
  <c r="E36"/>
  <c r="D36"/>
  <c r="F29"/>
  <c r="E29"/>
  <c r="D29"/>
  <c r="F27"/>
  <c r="E27"/>
  <c r="E26" s="1"/>
  <c r="D27"/>
  <c r="D26" l="1"/>
  <c r="F26"/>
  <c r="F528" i="61"/>
  <c r="H405"/>
  <c r="G405"/>
  <c r="J553" i="2"/>
  <c r="D107" i="3"/>
  <c r="E107"/>
  <c r="I553" i="2"/>
  <c r="H553"/>
  <c r="F107" i="3"/>
  <c r="D35"/>
  <c r="F35"/>
  <c r="E35"/>
  <c r="G519" i="61"/>
  <c r="F211"/>
  <c r="H211"/>
  <c r="G211"/>
  <c r="H519"/>
  <c r="F519"/>
  <c r="J69" i="2"/>
  <c r="J65" s="1"/>
  <c r="J64" s="1"/>
  <c r="I69"/>
  <c r="I65" s="1"/>
  <c r="I64" s="1"/>
  <c r="H215"/>
  <c r="H69"/>
  <c r="H594"/>
  <c r="G528" i="61"/>
  <c r="H528"/>
  <c r="I594" i="2"/>
  <c r="J594"/>
  <c r="H310" i="61" l="1"/>
  <c r="G310"/>
  <c r="F310"/>
  <c r="H306"/>
  <c r="G306"/>
  <c r="F306"/>
  <c r="H303"/>
  <c r="G303"/>
  <c r="F303"/>
  <c r="H301"/>
  <c r="G301"/>
  <c r="F301"/>
  <c r="H299"/>
  <c r="G299"/>
  <c r="F299"/>
  <c r="H296"/>
  <c r="G296"/>
  <c r="F296"/>
  <c r="H294"/>
  <c r="G294"/>
  <c r="F294"/>
  <c r="H292"/>
  <c r="G292"/>
  <c r="F292"/>
  <c r="J326" i="2"/>
  <c r="I326"/>
  <c r="J323"/>
  <c r="J322" s="1"/>
  <c r="I323"/>
  <c r="I322" s="1"/>
  <c r="H323"/>
  <c r="H322" s="1"/>
  <c r="J320"/>
  <c r="I320"/>
  <c r="H320"/>
  <c r="J318"/>
  <c r="I318"/>
  <c r="H318"/>
  <c r="J314"/>
  <c r="I314"/>
  <c r="H314"/>
  <c r="J312"/>
  <c r="I312"/>
  <c r="J309"/>
  <c r="J308" s="1"/>
  <c r="I309"/>
  <c r="I308" s="1"/>
  <c r="H308"/>
  <c r="F305" i="61" l="1"/>
  <c r="H305"/>
  <c r="H307" i="2"/>
  <c r="I325"/>
  <c r="H317"/>
  <c r="H316" s="1"/>
  <c r="G298" i="61"/>
  <c r="F298"/>
  <c r="G305"/>
  <c r="H325" i="2"/>
  <c r="I311"/>
  <c r="I307" s="1"/>
  <c r="F291" i="61"/>
  <c r="G291"/>
  <c r="H298"/>
  <c r="H291"/>
  <c r="J325" i="2"/>
  <c r="I317"/>
  <c r="I316" s="1"/>
  <c r="J317"/>
  <c r="J316" s="1"/>
  <c r="J311"/>
  <c r="J307" s="1"/>
  <c r="I306" l="1"/>
  <c r="J306"/>
  <c r="H306"/>
  <c r="E381" i="3"/>
  <c r="F381"/>
  <c r="D381"/>
  <c r="E383"/>
  <c r="I247" i="2" l="1"/>
  <c r="I246" s="1"/>
  <c r="I245" s="1"/>
  <c r="J459"/>
  <c r="I459"/>
  <c r="H247"/>
  <c r="H246" s="1"/>
  <c r="H459"/>
  <c r="J247"/>
  <c r="J246" s="1"/>
  <c r="F238" i="61"/>
  <c r="G238"/>
  <c r="H238"/>
  <c r="E344" i="3"/>
  <c r="F344"/>
  <c r="D344"/>
  <c r="I457" i="2" l="1"/>
  <c r="I456" s="1"/>
  <c r="I458"/>
  <c r="J458"/>
  <c r="J457"/>
  <c r="J456" s="1"/>
  <c r="J340"/>
  <c r="J339" s="1"/>
  <c r="J338" s="1"/>
  <c r="J337" s="1"/>
  <c r="G317" i="61"/>
  <c r="G316" s="1"/>
  <c r="H340" i="2"/>
  <c r="H339" s="1"/>
  <c r="H338" s="1"/>
  <c r="H337" s="1"/>
  <c r="F317" i="61"/>
  <c r="I340" i="2"/>
  <c r="I339" s="1"/>
  <c r="I338" s="1"/>
  <c r="I337" s="1"/>
  <c r="H317" i="61"/>
  <c r="H316" s="1"/>
  <c r="E606" i="3"/>
  <c r="F606"/>
  <c r="D606"/>
  <c r="H92" i="61" l="1"/>
  <c r="G92"/>
  <c r="F92"/>
  <c r="J88" i="2"/>
  <c r="I88"/>
  <c r="H88"/>
  <c r="H91"/>
  <c r="I91"/>
  <c r="J91"/>
  <c r="D620" i="3" l="1"/>
  <c r="F620"/>
  <c r="F628"/>
  <c r="E628"/>
  <c r="D628"/>
  <c r="F626"/>
  <c r="E626"/>
  <c r="D626"/>
  <c r="H34" i="61"/>
  <c r="G34"/>
  <c r="F34"/>
  <c r="H32"/>
  <c r="G32"/>
  <c r="F32"/>
  <c r="I30" i="2"/>
  <c r="I27" s="1"/>
  <c r="I26" s="1"/>
  <c r="I25" s="1"/>
  <c r="I24" s="1"/>
  <c r="I23" s="1"/>
  <c r="J30"/>
  <c r="J27" s="1"/>
  <c r="J26" s="1"/>
  <c r="J25" s="1"/>
  <c r="J24" s="1"/>
  <c r="J23" s="1"/>
  <c r="E620" i="3"/>
  <c r="H103" i="61"/>
  <c r="G103"/>
  <c r="F103"/>
  <c r="H99" i="2"/>
  <c r="E539" i="3" l="1"/>
  <c r="E538" s="1"/>
  <c r="E537" s="1"/>
  <c r="E536" s="1"/>
  <c r="F539"/>
  <c r="F538" s="1"/>
  <c r="F537" s="1"/>
  <c r="F536" s="1"/>
  <c r="D539"/>
  <c r="D538" s="1"/>
  <c r="D537" s="1"/>
  <c r="D536" s="1"/>
  <c r="H428" i="2" l="1"/>
  <c r="H427" s="1"/>
  <c r="H95" i="61"/>
  <c r="G95"/>
  <c r="F95"/>
  <c r="J622" i="2" l="1"/>
  <c r="H615" i="61"/>
  <c r="H606"/>
  <c r="G606"/>
  <c r="F606"/>
  <c r="H602"/>
  <c r="G602"/>
  <c r="F602"/>
  <c r="H597"/>
  <c r="G597"/>
  <c r="F597"/>
  <c r="H433" i="2"/>
  <c r="E497" i="3"/>
  <c r="E494" s="1"/>
  <c r="F497"/>
  <c r="F494" s="1"/>
  <c r="D497"/>
  <c r="D494" s="1"/>
  <c r="E502"/>
  <c r="F502"/>
  <c r="D502"/>
  <c r="E492" l="1"/>
  <c r="F492"/>
  <c r="D492"/>
  <c r="F500"/>
  <c r="F499" s="1"/>
  <c r="E500"/>
  <c r="E499" s="1"/>
  <c r="D500"/>
  <c r="D499" s="1"/>
  <c r="F490"/>
  <c r="E490"/>
  <c r="D490"/>
  <c r="H117" i="61"/>
  <c r="G113"/>
  <c r="H113"/>
  <c r="F113"/>
  <c r="H108"/>
  <c r="F127"/>
  <c r="G127"/>
  <c r="H127"/>
  <c r="H134"/>
  <c r="G134"/>
  <c r="F134"/>
  <c r="E489" i="3" l="1"/>
  <c r="E488" s="1"/>
  <c r="F489"/>
  <c r="F488" s="1"/>
  <c r="D489"/>
  <c r="I672" i="2"/>
  <c r="G117" i="61"/>
  <c r="F507"/>
  <c r="F506" s="1"/>
  <c r="F108"/>
  <c r="H507"/>
  <c r="H506" s="1"/>
  <c r="G507"/>
  <c r="G506" s="1"/>
  <c r="H107"/>
  <c r="F117"/>
  <c r="G108"/>
  <c r="J672" i="2"/>
  <c r="H672"/>
  <c r="H654" s="1"/>
  <c r="E414" i="3"/>
  <c r="F414"/>
  <c r="D414"/>
  <c r="F383"/>
  <c r="D383"/>
  <c r="I654" i="2" l="1"/>
  <c r="I633" s="1"/>
  <c r="J654"/>
  <c r="J633" s="1"/>
  <c r="G107" i="61"/>
  <c r="F107"/>
  <c r="D488" i="3"/>
  <c r="H155" i="61"/>
  <c r="G155"/>
  <c r="F155"/>
  <c r="F290" l="1"/>
  <c r="G290"/>
  <c r="H290"/>
  <c r="F316" l="1"/>
  <c r="H254"/>
  <c r="G254"/>
  <c r="F254"/>
  <c r="J260" i="2"/>
  <c r="I260"/>
  <c r="H260"/>
  <c r="J259" l="1"/>
  <c r="I259"/>
  <c r="H259"/>
  <c r="I258" l="1"/>
  <c r="I257" s="1"/>
  <c r="J258"/>
  <c r="J257" s="1"/>
  <c r="E292" i="3"/>
  <c r="F292"/>
  <c r="D292"/>
  <c r="F383" i="61" l="1"/>
  <c r="F382" s="1"/>
  <c r="F381" s="1"/>
  <c r="H383"/>
  <c r="H382" s="1"/>
  <c r="H381" s="1"/>
  <c r="I418" i="2"/>
  <c r="I417" s="1"/>
  <c r="I416" s="1"/>
  <c r="I415" s="1"/>
  <c r="G383" i="61"/>
  <c r="G382" s="1"/>
  <c r="G381" s="1"/>
  <c r="J418" i="2"/>
  <c r="J417" s="1"/>
  <c r="J416" s="1"/>
  <c r="J415" s="1"/>
  <c r="H418"/>
  <c r="H417" s="1"/>
  <c r="H416" s="1"/>
  <c r="H415" s="1"/>
  <c r="E286" i="3"/>
  <c r="F286"/>
  <c r="D286"/>
  <c r="E281"/>
  <c r="F281"/>
  <c r="D281"/>
  <c r="E279"/>
  <c r="F279"/>
  <c r="D279"/>
  <c r="E277"/>
  <c r="E276" s="1"/>
  <c r="F277"/>
  <c r="D277"/>
  <c r="E271"/>
  <c r="F271"/>
  <c r="D271"/>
  <c r="E269"/>
  <c r="F269"/>
  <c r="D269"/>
  <c r="E267"/>
  <c r="F267"/>
  <c r="D267"/>
  <c r="E265"/>
  <c r="F265"/>
  <c r="D265"/>
  <c r="H586" i="61"/>
  <c r="G586"/>
  <c r="F586"/>
  <c r="H754" i="2"/>
  <c r="H753" s="1"/>
  <c r="H752" s="1"/>
  <c r="H518" i="61"/>
  <c r="H517" s="1"/>
  <c r="G518"/>
  <c r="G517" s="1"/>
  <c r="J591" i="2"/>
  <c r="I591"/>
  <c r="H591"/>
  <c r="D276" i="3" l="1"/>
  <c r="F276"/>
  <c r="F264"/>
  <c r="E264"/>
  <c r="D264"/>
  <c r="H234" i="2"/>
  <c r="H226" s="1"/>
  <c r="H225" s="1"/>
  <c r="H214"/>
  <c r="H492" i="61"/>
  <c r="H491" s="1"/>
  <c r="H490" s="1"/>
  <c r="F492"/>
  <c r="F491" s="1"/>
  <c r="F490" s="1"/>
  <c r="F518"/>
  <c r="G492"/>
  <c r="G491" s="1"/>
  <c r="G490" s="1"/>
  <c r="H65" i="2"/>
  <c r="I234"/>
  <c r="I226" s="1"/>
  <c r="I225" s="1"/>
  <c r="J234"/>
  <c r="J226" s="1"/>
  <c r="J225" s="1"/>
  <c r="H688" l="1"/>
  <c r="J616" l="1"/>
  <c r="J615" s="1"/>
  <c r="J614" s="1"/>
  <c r="I616"/>
  <c r="I615" s="1"/>
  <c r="I614" s="1"/>
  <c r="H616"/>
  <c r="H615" s="1"/>
  <c r="H614" s="1"/>
  <c r="J587"/>
  <c r="I587"/>
  <c r="I586" s="1"/>
  <c r="I585" s="1"/>
  <c r="H587"/>
  <c r="J570"/>
  <c r="I570"/>
  <c r="H570"/>
  <c r="F123" i="3"/>
  <c r="E123"/>
  <c r="D123"/>
  <c r="H463" i="61"/>
  <c r="G463"/>
  <c r="F463"/>
  <c r="H461"/>
  <c r="H446" s="1"/>
  <c r="G461"/>
  <c r="F461"/>
  <c r="J575" i="2"/>
  <c r="I575"/>
  <c r="H575"/>
  <c r="J521"/>
  <c r="I521"/>
  <c r="H521"/>
  <c r="E258" i="3"/>
  <c r="F258"/>
  <c r="D258"/>
  <c r="E260"/>
  <c r="F260"/>
  <c r="D260"/>
  <c r="D257" l="1"/>
  <c r="F257"/>
  <c r="E257"/>
  <c r="F446" i="61"/>
  <c r="F445" s="1"/>
  <c r="G446"/>
  <c r="G445" s="1"/>
  <c r="H445"/>
  <c r="J586" i="2"/>
  <c r="H586"/>
  <c r="H476"/>
  <c r="I574"/>
  <c r="I539"/>
  <c r="J539"/>
  <c r="I569"/>
  <c r="H514"/>
  <c r="H539"/>
  <c r="J569"/>
  <c r="H569"/>
  <c r="H390" i="61"/>
  <c r="H389" s="1"/>
  <c r="G390"/>
  <c r="G389" s="1"/>
  <c r="I476" i="2"/>
  <c r="I475" s="1"/>
  <c r="I474" s="1"/>
  <c r="I514"/>
  <c r="J514"/>
  <c r="J476"/>
  <c r="J475" s="1"/>
  <c r="J474" s="1"/>
  <c r="H493" l="1"/>
  <c r="H492" s="1"/>
  <c r="J493"/>
  <c r="J492" s="1"/>
  <c r="I493"/>
  <c r="I492" s="1"/>
  <c r="H585"/>
  <c r="H574" s="1"/>
  <c r="J585"/>
  <c r="J574" s="1"/>
  <c r="J538"/>
  <c r="J537" s="1"/>
  <c r="I538"/>
  <c r="I537" s="1"/>
  <c r="H538"/>
  <c r="H537" s="1"/>
  <c r="E215" i="3" l="1"/>
  <c r="F215"/>
  <c r="D215"/>
  <c r="E179" l="1"/>
  <c r="F179"/>
  <c r="D179"/>
  <c r="D170"/>
  <c r="E170"/>
  <c r="F170"/>
  <c r="E143"/>
  <c r="E142" s="1"/>
  <c r="F143"/>
  <c r="F142" s="1"/>
  <c r="D143"/>
  <c r="D142" s="1"/>
  <c r="E137"/>
  <c r="F137"/>
  <c r="D137"/>
  <c r="E135"/>
  <c r="F135"/>
  <c r="D135"/>
  <c r="E130"/>
  <c r="F130"/>
  <c r="D130"/>
  <c r="E127"/>
  <c r="F127"/>
  <c r="D127"/>
  <c r="E125"/>
  <c r="F125"/>
  <c r="D125"/>
  <c r="E120"/>
  <c r="F120"/>
  <c r="D120"/>
  <c r="E118"/>
  <c r="F118"/>
  <c r="D118"/>
  <c r="E116"/>
  <c r="F116"/>
  <c r="D116"/>
  <c r="D122" l="1"/>
  <c r="F122"/>
  <c r="E129"/>
  <c r="E122"/>
  <c r="F115"/>
  <c r="E115"/>
  <c r="D115"/>
  <c r="D129"/>
  <c r="F129"/>
  <c r="D114" l="1"/>
  <c r="E114"/>
  <c r="F114"/>
  <c r="E101"/>
  <c r="F101"/>
  <c r="D101"/>
  <c r="E99"/>
  <c r="F99"/>
  <c r="F94" s="1"/>
  <c r="D99"/>
  <c r="E80"/>
  <c r="F80"/>
  <c r="D80"/>
  <c r="E78"/>
  <c r="F78"/>
  <c r="D78"/>
  <c r="E75"/>
  <c r="F75"/>
  <c r="D75"/>
  <c r="E73"/>
  <c r="F73"/>
  <c r="D73"/>
  <c r="E94" l="1"/>
  <c r="D94"/>
  <c r="D93" s="1"/>
  <c r="E93"/>
  <c r="E72"/>
  <c r="D72"/>
  <c r="F72"/>
  <c r="F93"/>
  <c r="E70"/>
  <c r="F70"/>
  <c r="D70"/>
  <c r="E68"/>
  <c r="F68"/>
  <c r="D68"/>
  <c r="E66"/>
  <c r="F66"/>
  <c r="D66"/>
  <c r="F65" l="1"/>
  <c r="E65"/>
  <c r="D65"/>
  <c r="E59"/>
  <c r="F59"/>
  <c r="D59"/>
  <c r="E57"/>
  <c r="F57"/>
  <c r="D57"/>
  <c r="E48"/>
  <c r="F48"/>
  <c r="D48"/>
  <c r="E50"/>
  <c r="F50"/>
  <c r="D50"/>
  <c r="E46"/>
  <c r="E45" s="1"/>
  <c r="F46"/>
  <c r="D46"/>
  <c r="D45" l="1"/>
  <c r="F45"/>
  <c r="F56"/>
  <c r="E56"/>
  <c r="E44" s="1"/>
  <c r="D56"/>
  <c r="E41"/>
  <c r="E40" s="1"/>
  <c r="F41"/>
  <c r="F40" s="1"/>
  <c r="D41"/>
  <c r="D40" s="1"/>
  <c r="F534"/>
  <c r="F533" s="1"/>
  <c r="E534"/>
  <c r="E533" s="1"/>
  <c r="D534"/>
  <c r="D533" s="1"/>
  <c r="F529"/>
  <c r="F528" s="1"/>
  <c r="E529"/>
  <c r="E528" s="1"/>
  <c r="D529"/>
  <c r="D528" s="1"/>
  <c r="D44" l="1"/>
  <c r="F44"/>
  <c r="F25"/>
  <c r="E25"/>
  <c r="F24" l="1"/>
  <c r="E527"/>
  <c r="E526" s="1"/>
  <c r="E24"/>
  <c r="F527"/>
  <c r="F526" s="1"/>
  <c r="H580" i="61"/>
  <c r="H579" s="1"/>
  <c r="G580"/>
  <c r="G579" s="1"/>
  <c r="F580"/>
  <c r="F579" s="1"/>
  <c r="H552" l="1"/>
  <c r="H551" s="1"/>
  <c r="G552"/>
  <c r="G551" s="1"/>
  <c r="H30" i="2" l="1"/>
  <c r="H28"/>
  <c r="F477" i="3"/>
  <c r="F476" s="1"/>
  <c r="E477"/>
  <c r="E476" s="1"/>
  <c r="D477"/>
  <c r="D476" s="1"/>
  <c r="H27" i="2" l="1"/>
  <c r="E221" i="3"/>
  <c r="E220" s="1"/>
  <c r="F221"/>
  <c r="F220" s="1"/>
  <c r="D221"/>
  <c r="D220" s="1"/>
  <c r="G404" i="61" l="1"/>
  <c r="H404"/>
  <c r="F390"/>
  <c r="F389" s="1"/>
  <c r="F405"/>
  <c r="F404" s="1"/>
  <c r="H150" i="2" l="1"/>
  <c r="H149" s="1"/>
  <c r="F404" i="3"/>
  <c r="E404"/>
  <c r="D404"/>
  <c r="D474" l="1"/>
  <c r="D473" s="1"/>
  <c r="D472" s="1"/>
  <c r="F486"/>
  <c r="F484"/>
  <c r="F474"/>
  <c r="F473" s="1"/>
  <c r="F472" s="1"/>
  <c r="F470"/>
  <c r="F469" s="1"/>
  <c r="F467"/>
  <c r="F462"/>
  <c r="D462"/>
  <c r="F480" l="1"/>
  <c r="F479" s="1"/>
  <c r="F461"/>
  <c r="F460" s="1"/>
  <c r="F459" l="1"/>
  <c r="F402" l="1"/>
  <c r="E402"/>
  <c r="D402"/>
  <c r="F400"/>
  <c r="E400"/>
  <c r="D400"/>
  <c r="F398"/>
  <c r="E398"/>
  <c r="D398"/>
  <c r="F396"/>
  <c r="E396"/>
  <c r="D396"/>
  <c r="F392"/>
  <c r="E392"/>
  <c r="D392"/>
  <c r="E390"/>
  <c r="D390"/>
  <c r="F390"/>
  <c r="F388"/>
  <c r="E388"/>
  <c r="D388"/>
  <c r="F416"/>
  <c r="E416"/>
  <c r="D416"/>
  <c r="F412"/>
  <c r="E412"/>
  <c r="D412"/>
  <c r="F410"/>
  <c r="E410"/>
  <c r="D410"/>
  <c r="D387" l="1"/>
  <c r="E387"/>
  <c r="E386" s="1"/>
  <c r="F387"/>
  <c r="D386"/>
  <c r="F386"/>
  <c r="F409"/>
  <c r="F408" s="1"/>
  <c r="E409"/>
  <c r="E408" s="1"/>
  <c r="D409"/>
  <c r="F385" l="1"/>
  <c r="E385"/>
  <c r="H135" i="2"/>
  <c r="H134" s="1"/>
  <c r="I135"/>
  <c r="I134" s="1"/>
  <c r="J135"/>
  <c r="J134" s="1"/>
  <c r="F138" i="61"/>
  <c r="F137" s="1"/>
  <c r="F421" i="3" l="1"/>
  <c r="F420" s="1"/>
  <c r="E421"/>
  <c r="E420" s="1"/>
  <c r="D421"/>
  <c r="D420" s="1"/>
  <c r="F241" l="1"/>
  <c r="E241"/>
  <c r="D241"/>
  <c r="F230"/>
  <c r="F229" s="1"/>
  <c r="E230"/>
  <c r="E229" s="1"/>
  <c r="D230"/>
  <c r="D229" s="1"/>
  <c r="F232" l="1"/>
  <c r="E232"/>
  <c r="D232"/>
  <c r="F237" i="61" l="1"/>
  <c r="G237" l="1"/>
  <c r="H237"/>
  <c r="H245" i="2"/>
  <c r="J245"/>
  <c r="E631" i="3" l="1"/>
  <c r="D631"/>
  <c r="D625" s="1"/>
  <c r="E617"/>
  <c r="D617"/>
  <c r="E613"/>
  <c r="D613"/>
  <c r="E610"/>
  <c r="D610"/>
  <c r="E597"/>
  <c r="E594" s="1"/>
  <c r="D597"/>
  <c r="D594" s="1"/>
  <c r="E591"/>
  <c r="D591"/>
  <c r="E589"/>
  <c r="D589"/>
  <c r="E586"/>
  <c r="D586"/>
  <c r="E583"/>
  <c r="D583"/>
  <c r="E580"/>
  <c r="E579" s="1"/>
  <c r="D580"/>
  <c r="D579" s="1"/>
  <c r="E561"/>
  <c r="D561"/>
  <c r="E557"/>
  <c r="D557"/>
  <c r="E524"/>
  <c r="E523" s="1"/>
  <c r="D524"/>
  <c r="D523" s="1"/>
  <c r="E521"/>
  <c r="E520" s="1"/>
  <c r="D521"/>
  <c r="D520" s="1"/>
  <c r="E517"/>
  <c r="E516" s="1"/>
  <c r="D517"/>
  <c r="D516" s="1"/>
  <c r="E514"/>
  <c r="E512"/>
  <c r="E486"/>
  <c r="D486"/>
  <c r="E484"/>
  <c r="D484"/>
  <c r="E474"/>
  <c r="E473" s="1"/>
  <c r="E472" s="1"/>
  <c r="E470"/>
  <c r="E469" s="1"/>
  <c r="D470"/>
  <c r="D469" s="1"/>
  <c r="E467"/>
  <c r="D467"/>
  <c r="E462"/>
  <c r="E436"/>
  <c r="D436"/>
  <c r="E419"/>
  <c r="D419"/>
  <c r="E379"/>
  <c r="D379"/>
  <c r="E377"/>
  <c r="D377"/>
  <c r="E342"/>
  <c r="D342"/>
  <c r="E290"/>
  <c r="E289" s="1"/>
  <c r="D290"/>
  <c r="D289" s="1"/>
  <c r="E284"/>
  <c r="E283" s="1"/>
  <c r="E275" s="1"/>
  <c r="D284"/>
  <c r="D283" s="1"/>
  <c r="D275" s="1"/>
  <c r="E255"/>
  <c r="E254" s="1"/>
  <c r="E253" s="1"/>
  <c r="D255"/>
  <c r="D240"/>
  <c r="E240"/>
  <c r="E228"/>
  <c r="E224"/>
  <c r="E223" s="1"/>
  <c r="D224"/>
  <c r="D223" s="1"/>
  <c r="E218"/>
  <c r="E217" s="1"/>
  <c r="D218"/>
  <c r="D217" s="1"/>
  <c r="E213"/>
  <c r="E211"/>
  <c r="E209"/>
  <c r="D209"/>
  <c r="E185"/>
  <c r="E184" s="1"/>
  <c r="D185"/>
  <c r="D184" s="1"/>
  <c r="E177"/>
  <c r="E176" s="1"/>
  <c r="D177"/>
  <c r="D176" s="1"/>
  <c r="E168"/>
  <c r="E165" s="1"/>
  <c r="D168"/>
  <c r="D165" s="1"/>
  <c r="E556" l="1"/>
  <c r="D556"/>
  <c r="D193"/>
  <c r="D192" s="1"/>
  <c r="E193"/>
  <c r="E192" s="1"/>
  <c r="E147"/>
  <c r="E555"/>
  <c r="E554" s="1"/>
  <c r="E461"/>
  <c r="E460" s="1"/>
  <c r="E480"/>
  <c r="E479" s="1"/>
  <c r="E341"/>
  <c r="E340" s="1"/>
  <c r="E339" s="1"/>
  <c r="D341"/>
  <c r="D340" s="1"/>
  <c r="D339" s="1"/>
  <c r="D605"/>
  <c r="D376"/>
  <c r="E376"/>
  <c r="E435"/>
  <c r="E605"/>
  <c r="D208"/>
  <c r="D207" s="1"/>
  <c r="D147"/>
  <c r="E208"/>
  <c r="E207" s="1"/>
  <c r="D435"/>
  <c r="E582"/>
  <c r="E625"/>
  <c r="D582"/>
  <c r="E519"/>
  <c r="D519"/>
  <c r="D527"/>
  <c r="D526" s="1"/>
  <c r="E346"/>
  <c r="E418"/>
  <c r="D480"/>
  <c r="D479" s="1"/>
  <c r="E511"/>
  <c r="E505" s="1"/>
  <c r="E288"/>
  <c r="E252" s="1"/>
  <c r="D346"/>
  <c r="D288"/>
  <c r="D511"/>
  <c r="D505" s="1"/>
  <c r="D25"/>
  <c r="D24" s="1"/>
  <c r="D461"/>
  <c r="D254"/>
  <c r="D253" s="1"/>
  <c r="E227"/>
  <c r="D418"/>
  <c r="D228"/>
  <c r="D227" s="1"/>
  <c r="D408"/>
  <c r="D385" s="1"/>
  <c r="I761" i="2"/>
  <c r="I760" s="1"/>
  <c r="I759" s="1"/>
  <c r="H761"/>
  <c r="H760" s="1"/>
  <c r="H759" s="1"/>
  <c r="H751" s="1"/>
  <c r="H750" s="1"/>
  <c r="I754"/>
  <c r="I753" s="1"/>
  <c r="I752" s="1"/>
  <c r="H734"/>
  <c r="H733" s="1"/>
  <c r="H732" s="1"/>
  <c r="I719"/>
  <c r="H719"/>
  <c r="H458"/>
  <c r="I448"/>
  <c r="I442" s="1"/>
  <c r="I441" s="1"/>
  <c r="I440" s="1"/>
  <c r="I423" s="1"/>
  <c r="H448"/>
  <c r="H444"/>
  <c r="H443" s="1"/>
  <c r="H432"/>
  <c r="I291"/>
  <c r="H165"/>
  <c r="H164" s="1"/>
  <c r="H148"/>
  <c r="H147" s="1"/>
  <c r="H141" s="1"/>
  <c r="I133"/>
  <c r="H133"/>
  <c r="H132" s="1"/>
  <c r="H127"/>
  <c r="H98"/>
  <c r="H97" s="1"/>
  <c r="I83"/>
  <c r="H83"/>
  <c r="H79"/>
  <c r="H78" s="1"/>
  <c r="I61"/>
  <c r="I60" s="1"/>
  <c r="I59" s="1"/>
  <c r="I58" s="1"/>
  <c r="H60"/>
  <c r="H59" s="1"/>
  <c r="H58" s="1"/>
  <c r="I54"/>
  <c r="I53" s="1"/>
  <c r="I48" s="1"/>
  <c r="I47" s="1"/>
  <c r="H54"/>
  <c r="H53" s="1"/>
  <c r="H50"/>
  <c r="H49" s="1"/>
  <c r="H44"/>
  <c r="I37"/>
  <c r="I36" s="1"/>
  <c r="I35" s="1"/>
  <c r="I34" s="1"/>
  <c r="I33" s="1"/>
  <c r="H37"/>
  <c r="H36" s="1"/>
  <c r="H35" s="1"/>
  <c r="H34" s="1"/>
  <c r="H33" s="1"/>
  <c r="E146" i="3" l="1"/>
  <c r="H48" i="2"/>
  <c r="H47" s="1"/>
  <c r="I132"/>
  <c r="I95" s="1"/>
  <c r="I626"/>
  <c r="D555" i="3"/>
  <c r="D554" s="1"/>
  <c r="D252"/>
  <c r="D146"/>
  <c r="H82" i="2"/>
  <c r="I82"/>
  <c r="E459" i="3"/>
  <c r="E504"/>
  <c r="D504"/>
  <c r="D578"/>
  <c r="E578"/>
  <c r="D375"/>
  <c r="D374"/>
  <c r="E375"/>
  <c r="E374"/>
  <c r="D460"/>
  <c r="D459" s="1"/>
  <c r="D307"/>
  <c r="E307"/>
  <c r="I718" i="2"/>
  <c r="H568"/>
  <c r="H567" s="1"/>
  <c r="H87"/>
  <c r="H96"/>
  <c r="I87"/>
  <c r="I568"/>
  <c r="I567" s="1"/>
  <c r="H718"/>
  <c r="H717" s="1"/>
  <c r="H291"/>
  <c r="H290" s="1"/>
  <c r="H431"/>
  <c r="H430" s="1"/>
  <c r="I751"/>
  <c r="I750" s="1"/>
  <c r="H475"/>
  <c r="H474" s="1"/>
  <c r="H426"/>
  <c r="H425" s="1"/>
  <c r="H424" s="1"/>
  <c r="H213"/>
  <c r="H635"/>
  <c r="H634" s="1"/>
  <c r="I213"/>
  <c r="I140" s="1"/>
  <c r="H457"/>
  <c r="H456" s="1"/>
  <c r="H43"/>
  <c r="H42" s="1"/>
  <c r="H153"/>
  <c r="H152" s="1"/>
  <c r="H687"/>
  <c r="H686" s="1"/>
  <c r="H629"/>
  <c r="H628" s="1"/>
  <c r="H64"/>
  <c r="H26"/>
  <c r="H25" s="1"/>
  <c r="H24" s="1"/>
  <c r="H23" s="1"/>
  <c r="H442"/>
  <c r="H441" s="1"/>
  <c r="H440" s="1"/>
  <c r="F632" i="61"/>
  <c r="F631" s="1"/>
  <c r="F630" s="1"/>
  <c r="G605"/>
  <c r="F605"/>
  <c r="F604" s="1"/>
  <c r="G601"/>
  <c r="G600" s="1"/>
  <c r="F601"/>
  <c r="F600" s="1"/>
  <c r="G596"/>
  <c r="G595" s="1"/>
  <c r="G594" s="1"/>
  <c r="F596"/>
  <c r="F595" s="1"/>
  <c r="F594" s="1"/>
  <c r="G487"/>
  <c r="G486" s="1"/>
  <c r="G485" s="1"/>
  <c r="F487"/>
  <c r="F486" s="1"/>
  <c r="F485" s="1"/>
  <c r="G468"/>
  <c r="G444" s="1"/>
  <c r="F468"/>
  <c r="F444" s="1"/>
  <c r="G359"/>
  <c r="G315" s="1"/>
  <c r="F359"/>
  <c r="F315" s="1"/>
  <c r="G276"/>
  <c r="G275" s="1"/>
  <c r="F276"/>
  <c r="F275" s="1"/>
  <c r="G191"/>
  <c r="F191"/>
  <c r="G138"/>
  <c r="G137" s="1"/>
  <c r="G133"/>
  <c r="F133"/>
  <c r="G102"/>
  <c r="G101" s="1"/>
  <c r="F102"/>
  <c r="F101" s="1"/>
  <c r="G91"/>
  <c r="F91"/>
  <c r="G87"/>
  <c r="G86" s="1"/>
  <c r="F87"/>
  <c r="F86" s="1"/>
  <c r="G83"/>
  <c r="G82" s="1"/>
  <c r="F83"/>
  <c r="F82" s="1"/>
  <c r="G67"/>
  <c r="G66" s="1"/>
  <c r="G65" s="1"/>
  <c r="G64" s="1"/>
  <c r="F67"/>
  <c r="F66" s="1"/>
  <c r="F65" s="1"/>
  <c r="F64" s="1"/>
  <c r="G61"/>
  <c r="G60" s="1"/>
  <c r="F61"/>
  <c r="F60" s="1"/>
  <c r="G55"/>
  <c r="F55"/>
  <c r="G51"/>
  <c r="G50" s="1"/>
  <c r="G49" s="1"/>
  <c r="G48" s="1"/>
  <c r="F50"/>
  <c r="F49" s="1"/>
  <c r="F48" s="1"/>
  <c r="G43"/>
  <c r="F43"/>
  <c r="G40"/>
  <c r="G39" s="1"/>
  <c r="F40"/>
  <c r="F39" s="1"/>
  <c r="F31"/>
  <c r="F30" s="1"/>
  <c r="G28"/>
  <c r="G27" s="1"/>
  <c r="G26" s="1"/>
  <c r="G25" s="1"/>
  <c r="F28"/>
  <c r="F27" s="1"/>
  <c r="F26" s="1"/>
  <c r="F25" s="1"/>
  <c r="F599" l="1"/>
  <c r="H77" i="2"/>
  <c r="I717"/>
  <c r="I685" s="1"/>
  <c r="I625" s="1"/>
  <c r="I621" s="1"/>
  <c r="I620" s="1"/>
  <c r="I619" s="1"/>
  <c r="I618" s="1"/>
  <c r="I613" s="1"/>
  <c r="I612" s="1"/>
  <c r="I611" s="1"/>
  <c r="I77"/>
  <c r="I63" s="1"/>
  <c r="I41" s="1"/>
  <c r="F81" i="61"/>
  <c r="G81"/>
  <c r="H627" i="2"/>
  <c r="H626" s="1"/>
  <c r="D23" i="3"/>
  <c r="D22" s="1"/>
  <c r="E23"/>
  <c r="E22" s="1"/>
  <c r="G388" i="61"/>
  <c r="H140" i="2"/>
  <c r="H633"/>
  <c r="I290"/>
  <c r="I256" s="1"/>
  <c r="H685"/>
  <c r="H258"/>
  <c r="H257" s="1"/>
  <c r="H573"/>
  <c r="G604" i="61"/>
  <c r="G599" s="1"/>
  <c r="I573" i="2"/>
  <c r="G210" i="61"/>
  <c r="F210"/>
  <c r="F250"/>
  <c r="G250"/>
  <c r="G270"/>
  <c r="F132"/>
  <c r="G132"/>
  <c r="G154"/>
  <c r="G153" s="1"/>
  <c r="G149" s="1"/>
  <c r="G144" s="1"/>
  <c r="F270"/>
  <c r="F219"/>
  <c r="G71"/>
  <c r="G70" s="1"/>
  <c r="F648"/>
  <c r="F647" s="1"/>
  <c r="F646" s="1"/>
  <c r="G648"/>
  <c r="G647" s="1"/>
  <c r="G646" s="1"/>
  <c r="F618"/>
  <c r="G618"/>
  <c r="G631"/>
  <c r="G630" s="1"/>
  <c r="F552"/>
  <c r="F551" s="1"/>
  <c r="H102" i="2"/>
  <c r="H95" s="1"/>
  <c r="F154" i="61"/>
  <c r="F153" s="1"/>
  <c r="F149" s="1"/>
  <c r="F144" s="1"/>
  <c r="G165"/>
  <c r="G164" s="1"/>
  <c r="F165"/>
  <c r="F164" s="1"/>
  <c r="F100"/>
  <c r="G100"/>
  <c r="F54"/>
  <c r="F53" s="1"/>
  <c r="G38"/>
  <c r="G37" s="1"/>
  <c r="G54"/>
  <c r="G53" s="1"/>
  <c r="H423" i="2"/>
  <c r="G31" i="61"/>
  <c r="G30" s="1"/>
  <c r="F517"/>
  <c r="F388" s="1"/>
  <c r="F71"/>
  <c r="F70" s="1"/>
  <c r="F38"/>
  <c r="F37" s="1"/>
  <c r="G615" l="1"/>
  <c r="G614" s="1"/>
  <c r="G613" s="1"/>
  <c r="G612" s="1"/>
  <c r="G593" s="1"/>
  <c r="F615"/>
  <c r="F614" s="1"/>
  <c r="F613" s="1"/>
  <c r="F612" s="1"/>
  <c r="F593" s="1"/>
  <c r="I491" i="2"/>
  <c r="I473" s="1"/>
  <c r="I472" s="1"/>
  <c r="H625"/>
  <c r="H621" s="1"/>
  <c r="H620" s="1"/>
  <c r="H619" s="1"/>
  <c r="H618" s="1"/>
  <c r="H613" s="1"/>
  <c r="H612" s="1"/>
  <c r="H611" s="1"/>
  <c r="I40"/>
  <c r="F550" i="61"/>
  <c r="G69"/>
  <c r="G24" s="1"/>
  <c r="F69"/>
  <c r="F24" s="1"/>
  <c r="H63" i="2"/>
  <c r="H41" s="1"/>
  <c r="H256"/>
  <c r="F249" i="61"/>
  <c r="F248" s="1"/>
  <c r="F247" s="1"/>
  <c r="F209"/>
  <c r="G209"/>
  <c r="G249"/>
  <c r="G248" s="1"/>
  <c r="G247" s="1"/>
  <c r="G106"/>
  <c r="G99" s="1"/>
  <c r="G550"/>
  <c r="F106"/>
  <c r="F99" s="1"/>
  <c r="H491" i="2" l="1"/>
  <c r="H473" s="1"/>
  <c r="H472" s="1"/>
  <c r="F143" i="61"/>
  <c r="F23" s="1"/>
  <c r="I22" i="2"/>
  <c r="G143" i="61"/>
  <c r="G23" s="1"/>
  <c r="H40" i="2"/>
  <c r="H22" l="1"/>
  <c r="F580" i="3" l="1"/>
  <c r="F177" l="1"/>
  <c r="F176" s="1"/>
  <c r="F514" l="1"/>
  <c r="F512"/>
  <c r="F511" l="1"/>
  <c r="F561"/>
  <c r="F557" l="1"/>
  <c r="J133" i="2"/>
  <c r="J132" s="1"/>
  <c r="J95" s="1"/>
  <c r="F556" i="3" l="1"/>
  <c r="F555" s="1"/>
  <c r="F554" s="1"/>
  <c r="H138" i="61"/>
  <c r="H137" s="1"/>
  <c r="F379" i="3" l="1"/>
  <c r="F377"/>
  <c r="F376" l="1"/>
  <c r="F374" s="1"/>
  <c r="H31" i="61" l="1"/>
  <c r="H61" l="1"/>
  <c r="H60" s="1"/>
  <c r="F610" i="3" l="1"/>
  <c r="F284" l="1"/>
  <c r="F283" s="1"/>
  <c r="F275" s="1"/>
  <c r="F255"/>
  <c r="F254" s="1"/>
  <c r="F253" s="1"/>
  <c r="H219" i="61" l="1"/>
  <c r="F591" i="3" l="1"/>
  <c r="F342" l="1"/>
  <c r="F341" s="1"/>
  <c r="F340" l="1"/>
  <c r="H55" i="61" l="1"/>
  <c r="H54" s="1"/>
  <c r="F579" i="3"/>
  <c r="F631"/>
  <c r="F625" s="1"/>
  <c r="F224"/>
  <c r="F223" s="1"/>
  <c r="F168"/>
  <c r="F165" s="1"/>
  <c r="H468" i="61" l="1"/>
  <c r="H444" s="1"/>
  <c r="H631"/>
  <c r="H550" l="1"/>
  <c r="H30" l="1"/>
  <c r="F613" i="3" l="1"/>
  <c r="J754" i="2"/>
  <c r="J753" s="1"/>
  <c r="J752" s="1"/>
  <c r="F517" i="3"/>
  <c r="F516" s="1"/>
  <c r="F375" l="1"/>
  <c r="F290" l="1"/>
  <c r="F289" s="1"/>
  <c r="J629" i="2" l="1"/>
  <c r="J628" s="1"/>
  <c r="J627" s="1"/>
  <c r="F419" i="3"/>
  <c r="F418" s="1"/>
  <c r="J626" i="2" l="1"/>
  <c r="F617" i="3" l="1"/>
  <c r="F597"/>
  <c r="F594" s="1"/>
  <c r="F589"/>
  <c r="F586"/>
  <c r="F583"/>
  <c r="F524"/>
  <c r="F523" s="1"/>
  <c r="F521"/>
  <c r="F520" s="1"/>
  <c r="F505"/>
  <c r="F346"/>
  <c r="F218"/>
  <c r="F217" s="1"/>
  <c r="F213"/>
  <c r="F211"/>
  <c r="F209"/>
  <c r="F185"/>
  <c r="J761" i="2"/>
  <c r="J760" s="1"/>
  <c r="J759" s="1"/>
  <c r="J751" s="1"/>
  <c r="J750" s="1"/>
  <c r="J621"/>
  <c r="J620" s="1"/>
  <c r="J619" s="1"/>
  <c r="J618" s="1"/>
  <c r="J613" s="1"/>
  <c r="J612" s="1"/>
  <c r="J87"/>
  <c r="J83"/>
  <c r="J61"/>
  <c r="J60" s="1"/>
  <c r="J59" s="1"/>
  <c r="J58" s="1"/>
  <c r="J54"/>
  <c r="J53" s="1"/>
  <c r="J48" s="1"/>
  <c r="J47" s="1"/>
  <c r="J37"/>
  <c r="J36" s="1"/>
  <c r="J35" s="1"/>
  <c r="J34" s="1"/>
  <c r="J33" s="1"/>
  <c r="H614" i="61"/>
  <c r="H613" s="1"/>
  <c r="H605"/>
  <c r="H601"/>
  <c r="H600" s="1"/>
  <c r="H596"/>
  <c r="H595" s="1"/>
  <c r="H594" s="1"/>
  <c r="H487"/>
  <c r="H486" s="1"/>
  <c r="H276"/>
  <c r="H275" s="1"/>
  <c r="H270"/>
  <c r="H191"/>
  <c r="H102"/>
  <c r="H101" s="1"/>
  <c r="H91"/>
  <c r="H87"/>
  <c r="H86" s="1"/>
  <c r="H83"/>
  <c r="H82" s="1"/>
  <c r="H67"/>
  <c r="H66" s="1"/>
  <c r="H65" s="1"/>
  <c r="H64" s="1"/>
  <c r="H53"/>
  <c r="H51"/>
  <c r="H50" s="1"/>
  <c r="H49" s="1"/>
  <c r="H48" s="1"/>
  <c r="H40"/>
  <c r="H39" s="1"/>
  <c r="H28"/>
  <c r="H27" s="1"/>
  <c r="H26" s="1"/>
  <c r="H25" s="1"/>
  <c r="F184" i="3" l="1"/>
  <c r="F147" s="1"/>
  <c r="F193"/>
  <c r="F192" s="1"/>
  <c r="H81" i="61"/>
  <c r="H485"/>
  <c r="H388" s="1"/>
  <c r="J82" i="2"/>
  <c r="F208" i="3"/>
  <c r="F207" s="1"/>
  <c r="F582"/>
  <c r="F519"/>
  <c r="F504" s="1"/>
  <c r="H210" i="61"/>
  <c r="H209" s="1"/>
  <c r="H165"/>
  <c r="H164" s="1"/>
  <c r="F288" i="3"/>
  <c r="F252" s="1"/>
  <c r="J573" i="2"/>
  <c r="H604" i="61"/>
  <c r="H599" s="1"/>
  <c r="H43"/>
  <c r="H38" s="1"/>
  <c r="H37" s="1"/>
  <c r="H648"/>
  <c r="H647" s="1"/>
  <c r="H646" s="1"/>
  <c r="H71"/>
  <c r="H70" s="1"/>
  <c r="H133"/>
  <c r="F240" i="3"/>
  <c r="H359" i="61"/>
  <c r="H315" s="1"/>
  <c r="F228" i="3"/>
  <c r="J568" i="2"/>
  <c r="J567" s="1"/>
  <c r="J213"/>
  <c r="J140" s="1"/>
  <c r="H618" i="61"/>
  <c r="H612" s="1"/>
  <c r="F605" i="3"/>
  <c r="F339"/>
  <c r="H154" i="61"/>
  <c r="H153" s="1"/>
  <c r="H149" s="1"/>
  <c r="H144" s="1"/>
  <c r="J291" i="2"/>
  <c r="J290" s="1"/>
  <c r="J256" s="1"/>
  <c r="J448"/>
  <c r="J442" s="1"/>
  <c r="J441" s="1"/>
  <c r="J440" s="1"/>
  <c r="J423" s="1"/>
  <c r="J719"/>
  <c r="H250" i="61"/>
  <c r="H100"/>
  <c r="J611" i="2"/>
  <c r="F436" i="3"/>
  <c r="F146" l="1"/>
  <c r="J491" i="2"/>
  <c r="J473" s="1"/>
  <c r="J472" s="1"/>
  <c r="J77"/>
  <c r="J63" s="1"/>
  <c r="J41" s="1"/>
  <c r="H69" i="61"/>
  <c r="H24" s="1"/>
  <c r="H593"/>
  <c r="F435" i="3"/>
  <c r="H143" i="61"/>
  <c r="H106"/>
  <c r="F578" i="3"/>
  <c r="H132" i="61"/>
  <c r="F227" i="3"/>
  <c r="J718" i="2"/>
  <c r="H630" i="61"/>
  <c r="F307" i="3"/>
  <c r="H249" i="61"/>
  <c r="H248" s="1"/>
  <c r="H247" s="1"/>
  <c r="J717" i="2" l="1"/>
  <c r="J685" s="1"/>
  <c r="J625" s="1"/>
  <c r="F23" i="3"/>
  <c r="F22" s="1"/>
  <c r="H99" i="61"/>
  <c r="H23" s="1"/>
  <c r="J40"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<sst xmlns="http://schemas.openxmlformats.org/spreadsheetml/2006/main" count="6998" uniqueCount="786">
  <si>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</si>
  <si>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</si>
  <si>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</si>
  <si>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</si>
  <si>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</si>
  <si>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</si>
  <si>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</si>
  <si>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</si>
  <si>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</si>
  <si>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</si>
  <si>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</si>
  <si>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</si>
  <si>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</si>
  <si>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</si>
  <si>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</si>
  <si>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</si>
  <si>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</si>
  <si>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</si>
  <si>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</si>
  <si>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</si>
  <si>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</si>
  <si>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</si>
  <si>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</si>
  <si>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</si>
  <si>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</si>
  <si>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</si>
  <si>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</si>
  <si>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</si>
  <si>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</si>
  <si>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</si>
  <si>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</si>
  <si>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</si>
  <si>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</si>
  <si>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</si>
  <si>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</si>
  <si>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</si>
  <si>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</si>
  <si>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</si>
  <si>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</si>
  <si>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</si>
  <si>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</si>
  <si>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</si>
  <si>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</si>
  <si>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</si>
  <si>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</si>
  <si>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</si>
  <si>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</si>
  <si>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</si>
  <si>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</si>
  <si>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</si>
  <si>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</si>
  <si>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</si>
  <si>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</si>
  <si>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</si>
  <si>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</si>
  <si>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</si>
  <si>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</si>
  <si>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</si>
  <si>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</si>
  <si>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</si>
  <si>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</si>
  <si>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</si>
  <si>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</si>
  <si>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</si>
  <si>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</si>
  <si>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</si>
  <si>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</si>
  <si>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</si>
  <si>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</si>
  <si>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</si>
  <si>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</si>
  <si>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</si>
  <si>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</si>
  <si>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</si>
  <si>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</si>
  <si>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</si>
  <si>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</si>
  <si>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</si>
  <si>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</si>
  <si>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</si>
  <si>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</si>
  <si>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</si>
  <si>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</si>
  <si>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</si>
  <si>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</si>
  <si>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</si>
  <si>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</si>
  <si>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</si>
  <si>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</si>
  <si>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</si>
  <si>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</si>
  <si>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</si>
  <si>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</si>
  <si>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</si>
  <si>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</si>
  <si>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</si>
  <si>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</si>
  <si>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</si>
  <si>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</si>
  <si>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</si>
  <si>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</si>
  <si>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</si>
  <si>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</si>
  <si>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</si>
  <si>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</si>
  <si>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</si>
  <si>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</si>
  <si>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</si>
  <si>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</si>
  <si>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</si>
  <si>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</si>
  <si>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</si>
  <si>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</si>
  <si>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</si>
  <si>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</si>
  <si>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</si>
  <si>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</si>
  <si>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</si>
  <si>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</si>
  <si>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</si>
  <si>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</si>
  <si>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</si>
  <si>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</si>
  <si>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</si>
  <si>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</si>
  <si>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</si>
  <si>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</si>
  <si>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</si>
  <si>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</si>
  <si>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</si>
  <si>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</si>
  <si>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</si>
  <si>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</si>
  <si>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</si>
  <si>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</si>
  <si>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</si>
  <si>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</si>
  <si>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</si>
  <si>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</si>
  <si>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</si>
  <si>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</si>
  <si>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</si>
  <si>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</si>
  <si>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</si>
  <si>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</si>
  <si>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</si>
  <si>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</si>
  <si>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</si>
  <si>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</si>
  <si>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</si>
  <si>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</si>
  <si>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</si>
  <si>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</si>
  <si>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</si>
  <si>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</si>
  <si>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</si>
  <si>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</si>
  <si>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</si>
  <si>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</si>
  <si>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</si>
  <si>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</si>
  <si>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</si>
  <si>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</si>
  <si>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</si>
  <si>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</si>
  <si>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</si>
  <si>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</si>
  <si>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</si>
  <si>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</si>
  <si>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</si>
  <si>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</si>
  <si>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</si>
  <si>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</si>
  <si>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</si>
  <si>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</si>
  <si>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</si>
  <si>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</si>
  <si>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</si>
  <si>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</si>
  <si>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</si>
  <si>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</si>
  <si>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</si>
  <si>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</si>
  <si>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</si>
  <si>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</si>
  <si>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</si>
  <si>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</si>
  <si>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</si>
  <si>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</si>
  <si>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</si>
  <si>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</si>
  <si>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</si>
  <si>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</si>
  <si>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</si>
  <si>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</si>
  <si>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</si>
  <si>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</si>
  <si>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</si>
  <si>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</si>
  <si>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</si>
  <si>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</si>
  <si>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</si>
  <si>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</si>
  <si>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</si>
  <si>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</si>
  <si>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</si>
  <si>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</si>
  <si>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</si>
  <si>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</si>
  <si>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</si>
  <si>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</si>
  <si>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</si>
  <si>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</si>
  <si>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</si>
  <si>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</si>
  <si>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</si>
  <si>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</si>
  <si>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</si>
  <si>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</si>
  <si>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</si>
  <si>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</si>
  <si>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</si>
  <si>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</si>
  <si>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</si>
  <si>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</si>
  <si>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</si>
  <si>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</si>
  <si>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</si>
  <si>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</si>
  <si>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</si>
  <si>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</si>
  <si>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</si>
  <si>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</si>
  <si>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</si>
  <si>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</si>
  <si>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</si>
  <si>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</si>
  <si>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</si>
  <si>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</si>
  <si>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</si>
  <si>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</si>
  <si>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</si>
  <si>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</si>
  <si>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</si>
  <si>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</si>
  <si>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</si>
  <si>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</si>
  <si>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</si>
  <si>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</si>
  <si>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</si>
  <si>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</si>
  <si>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</si>
  <si>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</si>
  <si>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</si>
  <si>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</si>
  <si>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</si>
  <si>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</si>
  <si>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</si>
  <si>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</si>
  <si>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</si>
  <si>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</si>
  <si>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</si>
  <si>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</si>
  <si>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</si>
  <si>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</si>
  <si>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</si>
  <si>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</si>
  <si>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</si>
  <si>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</si>
  <si>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</si>
  <si>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</si>
  <si>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</si>
  <si>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</si>
  <si>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</si>
  <si>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</si>
  <si>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</si>
  <si>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</si>
  <si>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</si>
  <si>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</si>
  <si>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</si>
  <si>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</si>
  <si>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</si>
  <si>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</si>
  <si>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</si>
  <si>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</si>
  <si>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</si>
  <si>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</si>
  <si>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</si>
  <si>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</si>
  <si>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</si>
  <si>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</si>
  <si>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</si>
  <si>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</si>
  <si>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</si>
  <si>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</si>
  <si>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</si>
  <si>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</si>
  <si>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</si>
  <si>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</si>
  <si>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</si>
  <si>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</si>
  <si>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</si>
  <si>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</si>
  <si>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</si>
  <si>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</si>
  <si>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</si>
  <si>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</si>
  <si>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</si>
  <si>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</si>
  <si>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</si>
  <si>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</si>
  <si>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</si>
  <si>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</si>
  <si>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</si>
  <si>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</si>
  <si>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</si>
  <si>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</si>
  <si>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</si>
  <si>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</si>
  <si>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</si>
  <si>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</si>
  <si>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</si>
  <si>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</si>
  <si>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</si>
  <si>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</si>
  <si>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</si>
  <si>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</si>
  <si>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</si>
  <si>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</si>
  <si>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</si>
  <si>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</si>
  <si>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</si>
  <si>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</si>
  <si>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</si>
  <si>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</si>
  <si>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</si>
  <si>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</si>
  <si>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</si>
  <si>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</si>
  <si>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</si>
  <si>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</si>
  <si>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</si>
  <si>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</si>
  <si>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</si>
  <si>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</si>
  <si>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</si>
  <si>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</si>
  <si>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</si>
  <si>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</si>
  <si>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</si>
  <si>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</si>
  <si>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</si>
  <si>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</si>
  <si>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</si>
  <si>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</si>
  <si>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</si>
  <si>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</si>
  <si>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</si>
  <si>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</si>
  <si>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</si>
  <si>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</si>
  <si>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</si>
  <si>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</si>
  <si>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</si>
  <si>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</si>
  <si>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</si>
  <si>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</si>
  <si>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</si>
  <si>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</si>
  <si>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</si>
  <si>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</si>
  <si>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</si>
  <si>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</si>
  <si>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</si>
  <si>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</si>
  <si>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</si>
  <si>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</si>
  <si>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</si>
  <si>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</si>
  <si>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</si>
  <si>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</si>
  <si>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</si>
  <si>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</si>
  <si>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</si>
  <si>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</si>
  <si>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</si>
  <si>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</si>
  <si>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</si>
  <si>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</si>
  <si>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</si>
  <si>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</si>
  <si>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</si>
  <si>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</si>
  <si>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</si>
  <si>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</si>
  <si>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</si>
  <si>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</si>
  <si>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</si>
  <si>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</si>
  <si>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</si>
  <si>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</si>
  <si>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</si>
  <si>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</si>
  <si>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</si>
  <si>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</si>
  <si>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</si>
  <si>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</si>
  <si>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</si>
  <si>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</si>
  <si>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</si>
  <si>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</si>
  <si>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</si>
  <si>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</si>
  <si>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</si>
  <si>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</si>
  <si>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</si>
  <si>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</si>
  <si>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</si>
  <si>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</si>
  <si>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</si>
  <si>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</si>
  <si>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</si>
  <si>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</si>
  <si>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</si>
  <si>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</si>
  <si>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</si>
  <si>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</si>
  <si>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</si>
  <si>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</si>
  <si>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</si>
  <si>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</si>
  <si>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</si>
  <si>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</si>
  <si>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</si>
  <si>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</si>
  <si>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</si>
  <si>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</si>
  <si>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</si>
  <si>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</si>
  <si>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</si>
  <si>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</si>
  <si>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</si>
  <si>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</si>
  <si>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</si>
  <si>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</si>
  <si>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</si>
  <si>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</si>
  <si>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</si>
  <si>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</si>
  <si>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</si>
  <si>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</si>
  <si>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</si>
  <si>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</si>
  <si>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</si>
  <si>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</si>
  <si>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</si>
  <si>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</si>
  <si>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</si>
  <si>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</si>
  <si>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</si>
  <si>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</si>
  <si>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</si>
  <si>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</si>
  <si>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</si>
  <si>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</si>
  <si>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</si>
  <si>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</si>
  <si>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</si>
  <si>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</si>
  <si>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</si>
  <si>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</si>
  <si>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</si>
  <si>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</si>
  <si>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</si>
  <si>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</si>
  <si>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</si>
  <si>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</si>
  <si>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</si>
  <si>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</si>
  <si>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</si>
  <si>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</si>
  <si>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</si>
  <si>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</si>
  <si>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</si>
  <si>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</si>
  <si>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</si>
  <si>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</si>
  <si>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</si>
  <si>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</si>
  <si>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</si>
  <si>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</si>
  <si>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</si>
  <si>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</si>
  <si>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</si>
  <si>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</si>
  <si>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</si>
  <si>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</si>
  <si>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</si>
  <si>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</si>
  <si>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</si>
  <si>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</si>
  <si>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</si>
  <si>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</si>
  <si>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</si>
  <si>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</si>
  <si>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</si>
  <si>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</si>
  <si>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</si>
  <si>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</si>
  <si>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</si>
  <si>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</si>
  <si>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</si>
  <si>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</si>
  <si>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</si>
  <si>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</si>
  <si>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</si>
  <si>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</si>
  <si>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</si>
  <si>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</si>
  <si>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</si>
  <si>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</si>
  <si>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</si>
  <si>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</si>
  <si>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</si>
  <si>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</si>
  <si>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</si>
  <si>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</si>
  <si>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</si>
  <si>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</si>
  <si>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</si>
  <si>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</si>
  <si>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</si>
  <si>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</si>
  <si>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</si>
  <si>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</si>
  <si>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</si>
  <si>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</si>
  <si>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</si>
  <si>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</si>
  <si>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</si>
  <si>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</si>
  <si>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</si>
  <si>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</si>
  <si>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</si>
  <si>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</si>
  <si>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</si>
  <si>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</si>
  <si>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</si>
  <si>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</si>
  <si>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</si>
  <si>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</si>
  <si>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</si>
  <si>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</si>
  <si>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</si>
  <si>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</si>
  <si>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</si>
  <si>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</si>
  <si>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</si>
  <si>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</si>
  <si>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</si>
  <si>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</si>
  <si>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</si>
  <si>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</si>
  <si>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</si>
  <si>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</si>
  <si>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</si>
  <si>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</si>
  <si>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</si>
  <si>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</si>
  <si>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</si>
  <si>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</si>
  <si>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</si>
  <si>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</si>
  <si>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</si>
  <si>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</si>
  <si>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</si>
  <si>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</si>
  <si>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</si>
  <si>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</si>
  <si>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</si>
  <si>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</si>
  <si>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</si>
  <si>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</si>
  <si>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</si>
  <si>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</si>
  <si>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</si>
  <si>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</si>
  <si>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</si>
  <si>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</si>
  <si>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</si>
  <si>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</si>
  <si>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</si>
  <si>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</si>
  <si>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</si>
  <si>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</si>
  <si>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</si>
  <si>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</si>
  <si>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</si>
  <si>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</si>
  <si>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</si>
  <si>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</si>
  <si>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</si>
  <si>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</si>
  <si>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</si>
  <si>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</si>
  <si>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</si>
  <si>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</si>
  <si>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</si>
  <si>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</si>
  <si>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</si>
  <si>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</si>
  <si>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</si>
  <si>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</si>
  <si>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</si>
  <si>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</si>
  <si>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</si>
  <si>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</si>
  <si>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</si>
  <si>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</si>
  <si>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</si>
  <si>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</si>
  <si>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</si>
  <si>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</si>
  <si>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</si>
  <si>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</si>
  <si>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</si>
  <si>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</si>
  <si>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</si>
  <si>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</si>
  <si>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</si>
  <si>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</si>
  <si>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</si>
  <si>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</si>
  <si>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</si>
  <si>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</si>
  <si>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</si>
  <si>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</si>
  <si>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</si>
  <si>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</si>
  <si>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</si>
  <si>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</si>
  <si>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</si>
  <si>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</si>
  <si>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</si>
  <si>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</si>
  <si>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</si>
  <si>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</si>
  <si>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</si>
  <si>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</si>
  <si>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</si>
  <si>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</si>
  <si>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</si>
  <si>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</si>
  <si>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</si>
  <si>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</si>
  <si>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</si>
  <si>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</si>
  <si>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</si>
  <si>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</si>
  <si>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</si>
  <si>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</si>
  <si>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</si>
  <si>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</si>
  <si>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</si>
  <si>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</si>
  <si>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</si>
  <si>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Изготовление средств защиты по правилам дорожного движения для безопасности детей</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</si>
  <si>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</si>
  <si>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</si>
  <si>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</si>
  <si>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</si>
  <si>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</si>
  <si>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</si>
  <si>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</si>
  <si>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</si>
  <si>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</si>
  <si>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</si>
  <si>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</si>
  <si>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</si>
  <si>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</si>
  <si>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</si>
  <si>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</si>
  <si>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</si>
  <si>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</si>
  <si>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</si>
  <si>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</si>
  <si>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</si>
  <si>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</si>
  <si>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</si>
  <si>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</si>
  <si>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</si>
  <si>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</si>
  <si>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</si>
  <si>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</si>
  <si>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</si>
  <si>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</si>
  <si>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</si>
  <si>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</si>
  <si>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</si>
  <si>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</si>
  <si>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</si>
  <si>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</si>
  <si>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</si>
  <si>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</si>
  <si>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</si>
  <si>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</si>
  <si>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</si>
  <si>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</si>
  <si>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</si>
  <si>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</si>
  <si>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</si>
  <si>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</si>
  <si>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</si>
  <si>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</si>
  <si>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</si>
  <si>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</si>
  <si>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</si>
  <si>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</si>
  <si>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</si>
  <si>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</si>
  <si>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</si>
  <si>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</si>
  <si>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</si>
  <si>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</si>
  <si>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</si>
  <si>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</si>
  <si>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</si>
  <si>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</si>
  <si>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</si>
  <si>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</si>
  <si>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</si>
  <si>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</si>
  <si>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</si>
  <si>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</si>
  <si>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</si>
  <si>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</si>
  <si>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</si>
  <si>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</si>
  <si>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</si>
  <si>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</si>
  <si>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</si>
  <si>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</si>
  <si>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</si>
  <si>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</si>
  <si>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</si>
  <si>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</si>
  <si>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</si>
  <si>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</si>
  <si>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</si>
  <si>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</si>
  <si>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</si>
  <si>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</si>
  <si>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</si>
  <si>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</si>
  <si>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</si>
  <si>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</si>
  <si>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</si>
  <si>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</si>
  <si>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</si>
  <si>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</si>
  <si>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</si>
  <si>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</si>
  <si>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</si>
  <si>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</si>
  <si>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</si>
  <si>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</si>
  <si>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</si>
  <si>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0110111390</t>
  </si>
  <si>
    <t>Единовременная выплата к началу нового учебного года работникам муниципальных бюджетных дошкольных образовательных учреждений</t>
  </si>
  <si>
    <t>01101S1390</t>
  </si>
  <si>
    <t>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t>
  </si>
  <si>
    <t>0120111390</t>
  </si>
  <si>
    <t>Единовременная выплата к началу нового учебного года работникам муниципальных бюджетных общеобразовательных учреждений</t>
  </si>
  <si>
    <t>01201S1390</t>
  </si>
  <si>
    <t>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t>
  </si>
  <si>
    <t>0130111390</t>
  </si>
  <si>
    <t>Единовременная выплата к началу нового учебного года работникам муниципальных бюджетных учреждений дополнительного образования</t>
  </si>
  <si>
    <t>01301S1390</t>
  </si>
  <si>
    <t>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</si>
  <si>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t>
  </si>
  <si>
    <t>02102S1390</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</si>
  <si>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 за счет средств бюджета округа</t>
  </si>
  <si>
    <t xml:space="preserve">Думы от 21.12.2023   №196 </t>
  </si>
  <si>
    <t>Думы от 21.12.2023  №196</t>
  </si>
  <si>
    <t xml:space="preserve">Думы от 21.12.2023  №196 </t>
  </si>
  <si>
    <t>Думы от 21.12.2023   № 196</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</si>
</sst>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04">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49" fontId="41" fillId="0" borderId="1" xfId="4" applyNumberFormat="1" applyFont="1" applyBorder="1" applyAlignment="1">
      <alignment horizontal="center" shrinkToFit="1"/>
    </xf>
    <xf numFmtId="49" fontId="41" fillId="0" borderId="0" xfId="4" applyNumberFormat="1" applyFont="1" applyBorder="1" applyAlignment="1">
      <alignment horizontal="center" shrinkToFit="1"/>
    </xf>
    <xf numFmtId="49" fontId="11" fillId="0" borderId="11" xfId="0" applyNumberFormat="1" applyFont="1" applyBorder="1" applyAlignment="1">
      <alignment horizontal="center"/>
    </xf>
    <xf numFmtId="164" fontId="0" fillId="0" borderId="8" xfId="0" applyNumberFormat="1" applyBorder="1"/>
    <xf numFmtId="0" fontId="25" fillId="0" borderId="2" xfId="0" applyFont="1" applyBorder="1" applyAlignment="1">
      <alignment horizontal="left" vertical="center" wrapText="1"/>
    </xf>
    <xf numFmtId="0" fontId="25" fillId="0" borderId="4" xfId="0" applyFont="1" applyBorder="1" applyAlignment="1">
      <alignment horizontal="left" vertical="center" wrapText="1"/>
    </xf>
    <xf numFmtId="0" fontId="11" fillId="0" borderId="1" xfId="0" applyFont="1" applyBorder="1" applyAlignment="1">
      <alignment vertical="center" wrapText="1"/>
    </xf>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workbookViewId="0">
      <selection activeCell="F5" sqref="F5"/>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7" t="s">
        <v>138</v>
      </c>
    </row>
    <row r="2" spans="1:3">
      <c r="B2" s="157" t="s">
        <v>604</v>
      </c>
    </row>
    <row r="3" spans="1:3">
      <c r="B3" s="175" t="s">
        <v>782</v>
      </c>
    </row>
    <row r="4" spans="1:3">
      <c r="B4" s="157" t="s">
        <v>682</v>
      </c>
    </row>
    <row r="5" spans="1:3">
      <c r="B5" s="157" t="s">
        <v>683</v>
      </c>
    </row>
    <row r="6" spans="1:3">
      <c r="B6" s="157" t="s">
        <v>144</v>
      </c>
    </row>
    <row r="7" spans="1:3">
      <c r="B7" s="157" t="s">
        <v>629</v>
      </c>
    </row>
    <row r="11" spans="1:3">
      <c r="A11" s="7"/>
      <c r="B11" s="157" t="s">
        <v>138</v>
      </c>
      <c r="C11" s="88"/>
    </row>
    <row r="12" spans="1:3">
      <c r="A12" s="7"/>
      <c r="B12" s="157" t="s">
        <v>380</v>
      </c>
      <c r="C12" s="88"/>
    </row>
    <row r="13" spans="1:3">
      <c r="A13" s="7"/>
      <c r="B13" s="157" t="s">
        <v>681</v>
      </c>
      <c r="C13" s="88"/>
    </row>
    <row r="14" spans="1:3">
      <c r="A14" s="7"/>
      <c r="B14" s="157" t="s">
        <v>144</v>
      </c>
      <c r="C14" s="88"/>
    </row>
    <row r="15" spans="1:3">
      <c r="A15" s="7"/>
      <c r="B15" s="157" t="s">
        <v>629</v>
      </c>
      <c r="C15" s="88"/>
    </row>
    <row r="16" spans="1:3">
      <c r="A16" s="7"/>
      <c r="B16" s="157"/>
      <c r="C16" s="88"/>
    </row>
    <row r="17" spans="1:7">
      <c r="A17" s="7"/>
      <c r="B17" s="157"/>
      <c r="C17" s="88"/>
    </row>
    <row r="18" spans="1:7" ht="28.5" customHeight="1">
      <c r="A18" s="178" t="s">
        <v>727</v>
      </c>
      <c r="B18" s="179"/>
      <c r="C18" s="179"/>
      <c r="D18" s="180"/>
      <c r="E18" s="180"/>
      <c r="F18" s="180"/>
      <c r="G18" s="180"/>
    </row>
    <row r="20" spans="1:7">
      <c r="C20" s="112"/>
    </row>
    <row r="21" spans="1:7" s="114" customFormat="1" ht="12.75" customHeight="1">
      <c r="A21" s="181" t="s">
        <v>325</v>
      </c>
      <c r="B21" s="184" t="s">
        <v>91</v>
      </c>
      <c r="C21" s="187" t="s">
        <v>28</v>
      </c>
      <c r="D21" s="188"/>
      <c r="E21" s="188"/>
      <c r="F21" s="188"/>
      <c r="G21" s="189"/>
    </row>
    <row r="22" spans="1:7" s="114" customFormat="1" ht="12.75" customHeight="1">
      <c r="A22" s="182"/>
      <c r="B22" s="185"/>
      <c r="C22" s="190" t="s">
        <v>382</v>
      </c>
      <c r="D22" s="177" t="s">
        <v>141</v>
      </c>
      <c r="E22" s="177"/>
      <c r="F22" s="177" t="s">
        <v>141</v>
      </c>
      <c r="G22" s="177"/>
    </row>
    <row r="23" spans="1:7" s="114" customFormat="1">
      <c r="A23" s="183"/>
      <c r="B23" s="186"/>
      <c r="C23" s="190"/>
      <c r="D23" s="1" t="s">
        <v>142</v>
      </c>
      <c r="E23" s="1" t="s">
        <v>143</v>
      </c>
      <c r="F23" s="1" t="s">
        <v>482</v>
      </c>
      <c r="G23" s="1" t="s">
        <v>630</v>
      </c>
    </row>
    <row r="24" spans="1:7" s="114" customFormat="1" ht="48">
      <c r="A24" s="158" t="s">
        <v>671</v>
      </c>
      <c r="B24" s="159" t="s">
        <v>702</v>
      </c>
      <c r="C24" s="117">
        <v>0</v>
      </c>
      <c r="D24" s="117">
        <f>D25+D27</f>
        <v>-47400</v>
      </c>
      <c r="E24" s="117">
        <f>E25+E27</f>
        <v>-47400</v>
      </c>
      <c r="F24" s="117">
        <f>F25+F27</f>
        <v>-24975</v>
      </c>
      <c r="G24" s="117">
        <f>G25+G27</f>
        <v>0</v>
      </c>
    </row>
    <row r="25" spans="1:7" s="114" customFormat="1" ht="34.5" customHeight="1">
      <c r="A25" s="160" t="s">
        <v>703</v>
      </c>
      <c r="B25" s="115" t="s">
        <v>704</v>
      </c>
      <c r="C25" s="113">
        <v>0</v>
      </c>
      <c r="D25" s="113"/>
      <c r="E25" s="113"/>
      <c r="F25" s="113"/>
      <c r="G25" s="113"/>
    </row>
    <row r="26" spans="1:7" s="114" customFormat="1" ht="59.25" customHeight="1">
      <c r="A26" s="161" t="s">
        <v>705</v>
      </c>
      <c r="B26" s="116" t="s">
        <v>706</v>
      </c>
      <c r="C26" s="113">
        <v>0</v>
      </c>
      <c r="D26" s="113"/>
      <c r="E26" s="113"/>
      <c r="F26" s="113"/>
      <c r="G26" s="113"/>
    </row>
    <row r="27" spans="1:7" s="19" customFormat="1" ht="60">
      <c r="A27" s="160" t="s">
        <v>707</v>
      </c>
      <c r="B27" s="115" t="s">
        <v>708</v>
      </c>
      <c r="C27" s="113">
        <f>C28</f>
        <v>0</v>
      </c>
      <c r="D27" s="113">
        <f t="shared" ref="D27:G27" si="0">D28</f>
        <v>-47400</v>
      </c>
      <c r="E27" s="113">
        <f t="shared" si="0"/>
        <v>-47400</v>
      </c>
      <c r="F27" s="113">
        <f t="shared" si="0"/>
        <v>-24975</v>
      </c>
      <c r="G27" s="113">
        <f t="shared" si="0"/>
        <v>0</v>
      </c>
    </row>
    <row r="28" spans="1:7" ht="122.25" customHeight="1">
      <c r="A28" s="161" t="s">
        <v>709</v>
      </c>
      <c r="B28" s="116" t="s">
        <v>710</v>
      </c>
      <c r="C28" s="113">
        <v>0</v>
      </c>
      <c r="D28" s="113">
        <v>-47400</v>
      </c>
      <c r="E28" s="113">
        <v>-47400</v>
      </c>
      <c r="F28" s="113">
        <v>-24975</v>
      </c>
      <c r="G28" s="113">
        <v>0</v>
      </c>
    </row>
    <row r="29" spans="1:7" ht="24.75" customHeight="1">
      <c r="A29" s="91" t="s">
        <v>326</v>
      </c>
      <c r="B29" s="118" t="s">
        <v>327</v>
      </c>
      <c r="C29" s="117">
        <f t="shared" ref="C29:G29" si="1">C30+C32</f>
        <v>64787.700000000186</v>
      </c>
      <c r="D29" s="117">
        <f t="shared" si="1"/>
        <v>0</v>
      </c>
      <c r="E29" s="117">
        <f t="shared" si="1"/>
        <v>0</v>
      </c>
      <c r="F29" s="117">
        <f t="shared" si="1"/>
        <v>4918.3000000000466</v>
      </c>
      <c r="G29" s="117">
        <f t="shared" si="1"/>
        <v>0</v>
      </c>
    </row>
    <row r="30" spans="1:7" ht="26.25" customHeight="1">
      <c r="A30" s="24" t="s">
        <v>328</v>
      </c>
      <c r="B30" s="115" t="s">
        <v>329</v>
      </c>
      <c r="C30" s="119">
        <f>C31</f>
        <v>-1182347.3999999999</v>
      </c>
      <c r="D30" s="119">
        <f t="shared" ref="D30:F30" si="2">D31</f>
        <v>0</v>
      </c>
      <c r="E30" s="119">
        <f t="shared" si="2"/>
        <v>0</v>
      </c>
      <c r="F30" s="119">
        <f t="shared" si="2"/>
        <v>-1084356.3999999999</v>
      </c>
      <c r="G30" s="119">
        <f>G31</f>
        <v>-1076737.8999999999</v>
      </c>
    </row>
    <row r="31" spans="1:7" ht="36">
      <c r="A31" s="25" t="s">
        <v>672</v>
      </c>
      <c r="B31" s="116" t="s">
        <v>330</v>
      </c>
      <c r="C31" s="113">
        <v>-1182347.3999999999</v>
      </c>
      <c r="D31" s="113"/>
      <c r="E31" s="113"/>
      <c r="F31" s="113">
        <v>-1084356.3999999999</v>
      </c>
      <c r="G31" s="113">
        <f>-1076737.9</f>
        <v>-1076737.8999999999</v>
      </c>
    </row>
    <row r="32" spans="1:7" ht="24">
      <c r="A32" s="24" t="s">
        <v>331</v>
      </c>
      <c r="B32" s="115" t="s">
        <v>332</v>
      </c>
      <c r="C32" s="119">
        <f>C33</f>
        <v>1247135.1000000001</v>
      </c>
      <c r="D32" s="119">
        <f t="shared" ref="D32:G32" si="3">D33</f>
        <v>0</v>
      </c>
      <c r="E32" s="119">
        <f t="shared" si="3"/>
        <v>0</v>
      </c>
      <c r="F32" s="119">
        <f>F33</f>
        <v>1089274.7</v>
      </c>
      <c r="G32" s="119">
        <f t="shared" si="3"/>
        <v>1076737.8999999999</v>
      </c>
    </row>
    <row r="33" spans="1:7" ht="36">
      <c r="A33" s="120" t="s">
        <v>673</v>
      </c>
      <c r="B33" s="121" t="s">
        <v>333</v>
      </c>
      <c r="C33" s="113">
        <v>1247135.1000000001</v>
      </c>
      <c r="D33" s="113"/>
      <c r="E33" s="113"/>
      <c r="F33" s="113">
        <v>1089274.7</v>
      </c>
      <c r="G33" s="113">
        <v>1076737.8999999999</v>
      </c>
    </row>
    <row r="34" spans="1:7" ht="12.75" customHeight="1">
      <c r="A34" s="176" t="s">
        <v>334</v>
      </c>
      <c r="B34" s="177"/>
      <c r="C34" s="117">
        <f>C24+C30+C32</f>
        <v>64787.700000000186</v>
      </c>
      <c r="D34" s="117">
        <f t="shared" ref="D34:G34" si="4">D24+D30+D32</f>
        <v>-47400</v>
      </c>
      <c r="E34" s="117">
        <f t="shared" si="4"/>
        <v>-47400</v>
      </c>
      <c r="F34" s="117">
        <f t="shared" si="4"/>
        <v>-20056.699999999953</v>
      </c>
      <c r="G34" s="117">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workbookViewId="0">
      <selection activeCell="F7" sqref="F7"/>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2.5703125" customWidth="1"/>
    <col min="7" max="7" width="12.42578125" customWidth="1"/>
  </cols>
  <sheetData>
    <row r="1" spans="1:7">
      <c r="D1" s="87" t="s">
        <v>601</v>
      </c>
    </row>
    <row r="2" spans="1:7">
      <c r="D2" s="87" t="s">
        <v>604</v>
      </c>
    </row>
    <row r="3" spans="1:7">
      <c r="D3" s="87" t="s">
        <v>783</v>
      </c>
    </row>
    <row r="4" spans="1:7">
      <c r="D4" s="87" t="s">
        <v>682</v>
      </c>
    </row>
    <row r="5" spans="1:7">
      <c r="D5" s="87" t="s">
        <v>684</v>
      </c>
    </row>
    <row r="6" spans="1:7">
      <c r="D6" s="87" t="s">
        <v>144</v>
      </c>
    </row>
    <row r="7" spans="1:7">
      <c r="D7" s="87" t="s">
        <v>629</v>
      </c>
    </row>
    <row r="9" spans="1:7">
      <c r="D9" s="87" t="s">
        <v>601</v>
      </c>
      <c r="E9" s="7"/>
    </row>
    <row r="10" spans="1:7">
      <c r="D10" s="87" t="s">
        <v>380</v>
      </c>
      <c r="E10" s="7"/>
    </row>
    <row r="11" spans="1:7">
      <c r="D11" s="87" t="s">
        <v>680</v>
      </c>
      <c r="E11" s="7"/>
    </row>
    <row r="12" spans="1:7">
      <c r="D12" s="87" t="s">
        <v>144</v>
      </c>
      <c r="E12" s="7"/>
    </row>
    <row r="13" spans="1:7">
      <c r="D13" s="87" t="s">
        <v>629</v>
      </c>
      <c r="E13" s="7"/>
    </row>
    <row r="14" spans="1:7">
      <c r="E14" s="7"/>
    </row>
    <row r="15" spans="1:7">
      <c r="E15" s="7"/>
    </row>
    <row r="16" spans="1:7" ht="47.25" customHeight="1">
      <c r="A16" s="178" t="s">
        <v>728</v>
      </c>
      <c r="B16" s="178"/>
      <c r="C16" s="178"/>
      <c r="D16" s="178"/>
      <c r="E16" s="178"/>
      <c r="F16" s="180"/>
      <c r="G16" s="180"/>
    </row>
    <row r="18" spans="1:7">
      <c r="E18" s="6"/>
    </row>
    <row r="19" spans="1:7" ht="12.75">
      <c r="A19" s="191" t="s">
        <v>88</v>
      </c>
      <c r="B19" s="194" t="s">
        <v>21</v>
      </c>
      <c r="C19" s="194" t="s">
        <v>27</v>
      </c>
      <c r="D19" s="184" t="s">
        <v>91</v>
      </c>
      <c r="E19" s="190" t="s">
        <v>28</v>
      </c>
      <c r="F19" s="177"/>
      <c r="G19" s="177"/>
    </row>
    <row r="20" spans="1:7" ht="12.75">
      <c r="A20" s="192"/>
      <c r="B20" s="195"/>
      <c r="C20" s="195"/>
      <c r="D20" s="185"/>
      <c r="E20" s="194" t="s">
        <v>382</v>
      </c>
      <c r="F20" s="177" t="s">
        <v>141</v>
      </c>
      <c r="G20" s="177"/>
    </row>
    <row r="21" spans="1:7" ht="12.75">
      <c r="A21" s="193"/>
      <c r="B21" s="196"/>
      <c r="C21" s="196"/>
      <c r="D21" s="186"/>
      <c r="E21" s="196"/>
      <c r="F21" s="1" t="s">
        <v>482</v>
      </c>
      <c r="G21" s="1" t="s">
        <v>630</v>
      </c>
    </row>
    <row r="22" spans="1:7" ht="12.75">
      <c r="A22" s="2">
        <v>1</v>
      </c>
      <c r="B22" s="2">
        <v>2</v>
      </c>
      <c r="C22" s="2">
        <v>3</v>
      </c>
      <c r="D22" s="2">
        <v>4</v>
      </c>
      <c r="E22" s="2">
        <v>5</v>
      </c>
      <c r="F22" s="2">
        <v>6</v>
      </c>
      <c r="G22" s="2">
        <v>7</v>
      </c>
    </row>
    <row r="23" spans="1:7" ht="18">
      <c r="A23" s="67"/>
      <c r="B23" s="12"/>
      <c r="C23" s="12"/>
      <c r="D23" s="9" t="s">
        <v>93</v>
      </c>
      <c r="E23" s="95">
        <f>E24+E32+E36+E41+E46+E53+E56+E60+E62+E64</f>
        <v>1247135.1000000001</v>
      </c>
      <c r="F23" s="95">
        <f t="shared" ref="F23:G23" si="0">F24+F32+F36+F41+F46+F53+F56+F60+F62+F64</f>
        <v>1051187.2000000002</v>
      </c>
      <c r="G23" s="95">
        <f t="shared" si="0"/>
        <v>1049590.1000000001</v>
      </c>
    </row>
    <row r="24" spans="1:7" ht="15.75">
      <c r="A24" s="15">
        <v>1</v>
      </c>
      <c r="B24" s="4" t="s">
        <v>89</v>
      </c>
      <c r="C24" s="11"/>
      <c r="D24" s="3" t="s">
        <v>92</v>
      </c>
      <c r="E24" s="92">
        <f>SUM(E25:E31)</f>
        <v>139828.09999999998</v>
      </c>
      <c r="F24" s="92">
        <f>SUM(F25:F31)</f>
        <v>117582.8</v>
      </c>
      <c r="G24" s="92">
        <f>SUM(G25:G31)</f>
        <v>116148.20000000001</v>
      </c>
    </row>
    <row r="25" spans="1:7" ht="38.25">
      <c r="A25" s="67"/>
      <c r="B25" s="5" t="s">
        <v>89</v>
      </c>
      <c r="C25" s="5" t="s">
        <v>90</v>
      </c>
      <c r="D25" s="22" t="s">
        <v>17</v>
      </c>
      <c r="E25" s="39">
        <v>2367.1</v>
      </c>
      <c r="F25" s="39">
        <v>1902</v>
      </c>
      <c r="G25" s="39">
        <v>1902</v>
      </c>
    </row>
    <row r="26" spans="1:7" ht="51">
      <c r="A26" s="67"/>
      <c r="B26" s="5" t="s">
        <v>89</v>
      </c>
      <c r="C26" s="5" t="s">
        <v>94</v>
      </c>
      <c r="D26" s="22" t="s">
        <v>128</v>
      </c>
      <c r="E26" s="39">
        <v>4140.6000000000004</v>
      </c>
      <c r="F26" s="39">
        <v>4120.3</v>
      </c>
      <c r="G26" s="39">
        <v>4120.3</v>
      </c>
    </row>
    <row r="27" spans="1:7" ht="51">
      <c r="A27" s="67"/>
      <c r="B27" s="5" t="s">
        <v>89</v>
      </c>
      <c r="C27" s="5" t="s">
        <v>95</v>
      </c>
      <c r="D27" s="22" t="s">
        <v>121</v>
      </c>
      <c r="E27" s="39">
        <f>52390-463.3</f>
        <v>51926.7</v>
      </c>
      <c r="F27" s="39">
        <v>52850.1</v>
      </c>
      <c r="G27" s="39">
        <v>52853.7</v>
      </c>
    </row>
    <row r="28" spans="1:7">
      <c r="A28" s="67"/>
      <c r="B28" s="5" t="s">
        <v>89</v>
      </c>
      <c r="C28" s="5" t="s">
        <v>96</v>
      </c>
      <c r="D28" s="99" t="s">
        <v>291</v>
      </c>
      <c r="E28" s="107">
        <v>2.1</v>
      </c>
      <c r="F28" s="107">
        <v>2.2999999999999998</v>
      </c>
      <c r="G28" s="107">
        <v>2</v>
      </c>
    </row>
    <row r="29" spans="1:7" ht="38.25">
      <c r="A29" s="67"/>
      <c r="B29" s="5" t="s">
        <v>89</v>
      </c>
      <c r="C29" s="5" t="s">
        <v>97</v>
      </c>
      <c r="D29" s="99" t="s">
        <v>10</v>
      </c>
      <c r="E29" s="39">
        <f>12722.3-12+99</f>
        <v>12809.3</v>
      </c>
      <c r="F29" s="39">
        <v>12649.6</v>
      </c>
      <c r="G29" s="39">
        <v>12649.6</v>
      </c>
    </row>
    <row r="30" spans="1:7">
      <c r="A30" s="67"/>
      <c r="B30" s="5" t="s">
        <v>89</v>
      </c>
      <c r="C30" s="5" t="s">
        <v>103</v>
      </c>
      <c r="D30" s="99" t="s">
        <v>5</v>
      </c>
      <c r="E30" s="39">
        <v>250</v>
      </c>
      <c r="F30" s="39">
        <v>500</v>
      </c>
      <c r="G30" s="39">
        <v>500</v>
      </c>
    </row>
    <row r="31" spans="1:7">
      <c r="A31" s="67"/>
      <c r="B31" s="5" t="s">
        <v>89</v>
      </c>
      <c r="C31" s="5" t="s">
        <v>9</v>
      </c>
      <c r="D31" s="1" t="s">
        <v>98</v>
      </c>
      <c r="E31" s="39">
        <f>68216.5+115.8</f>
        <v>68332.3</v>
      </c>
      <c r="F31" s="39">
        <v>45558.5</v>
      </c>
      <c r="G31" s="39">
        <v>44120.6</v>
      </c>
    </row>
    <row r="32" spans="1:7" ht="33.75" customHeight="1">
      <c r="A32" s="15">
        <v>2</v>
      </c>
      <c r="B32" s="4" t="s">
        <v>94</v>
      </c>
      <c r="C32" s="3"/>
      <c r="D32" s="10" t="s">
        <v>99</v>
      </c>
      <c r="E32" s="92">
        <f>SUM(E33:E35)</f>
        <v>9582.2999999999993</v>
      </c>
      <c r="F32" s="92">
        <f t="shared" ref="F32:G32" si="1">SUM(F33:F35)</f>
        <v>8813.6</v>
      </c>
      <c r="G32" s="92">
        <f t="shared" si="1"/>
        <v>8843</v>
      </c>
    </row>
    <row r="33" spans="1:7" ht="15">
      <c r="A33" s="15"/>
      <c r="B33" s="5" t="s">
        <v>94</v>
      </c>
      <c r="C33" s="5" t="s">
        <v>95</v>
      </c>
      <c r="D33" s="99" t="s">
        <v>18</v>
      </c>
      <c r="E33" s="39">
        <v>1202</v>
      </c>
      <c r="F33" s="39">
        <v>1268.0999999999999</v>
      </c>
      <c r="G33" s="39">
        <v>1268.0999999999999</v>
      </c>
    </row>
    <row r="34" spans="1:7" ht="51">
      <c r="A34" s="67"/>
      <c r="B34" s="5" t="s">
        <v>94</v>
      </c>
      <c r="C34" s="5" t="s">
        <v>111</v>
      </c>
      <c r="D34" s="99" t="s">
        <v>383</v>
      </c>
      <c r="E34" s="39">
        <v>8346.2999999999993</v>
      </c>
      <c r="F34" s="39">
        <v>7511.5</v>
      </c>
      <c r="G34" s="39">
        <v>7511.5</v>
      </c>
    </row>
    <row r="35" spans="1:7" ht="38.25">
      <c r="A35" s="67"/>
      <c r="B35" s="5" t="s">
        <v>94</v>
      </c>
      <c r="C35" s="5" t="s">
        <v>122</v>
      </c>
      <c r="D35" s="97" t="s">
        <v>22</v>
      </c>
      <c r="E35" s="39">
        <v>34</v>
      </c>
      <c r="F35" s="39">
        <v>34</v>
      </c>
      <c r="G35" s="39">
        <v>63.4</v>
      </c>
    </row>
    <row r="36" spans="1:7" ht="15.75">
      <c r="A36" s="15">
        <v>3</v>
      </c>
      <c r="B36" s="4" t="s">
        <v>95</v>
      </c>
      <c r="C36" s="3"/>
      <c r="D36" s="10" t="s">
        <v>101</v>
      </c>
      <c r="E36" s="92">
        <f>SUM(E37:E40)</f>
        <v>196156.50000000003</v>
      </c>
      <c r="F36" s="92">
        <f>SUM(F37:F40)</f>
        <v>157267.79999999999</v>
      </c>
      <c r="G36" s="92">
        <f>SUM(G37:G40)</f>
        <v>180002.90000000002</v>
      </c>
    </row>
    <row r="37" spans="1:7">
      <c r="A37" s="67"/>
      <c r="B37" s="5" t="s">
        <v>95</v>
      </c>
      <c r="C37" s="5" t="s">
        <v>96</v>
      </c>
      <c r="D37" s="1" t="s">
        <v>104</v>
      </c>
      <c r="E37" s="39">
        <v>5021.8</v>
      </c>
      <c r="F37" s="39">
        <v>1563</v>
      </c>
      <c r="G37" s="39">
        <v>2222.9</v>
      </c>
    </row>
    <row r="38" spans="1:7">
      <c r="A38" s="67"/>
      <c r="B38" s="5" t="s">
        <v>95</v>
      </c>
      <c r="C38" s="5" t="s">
        <v>102</v>
      </c>
      <c r="D38" s="1" t="s">
        <v>1</v>
      </c>
      <c r="E38" s="39">
        <v>27326.400000000001</v>
      </c>
      <c r="F38" s="39">
        <v>25198.5</v>
      </c>
      <c r="G38" s="39">
        <v>25329.4</v>
      </c>
    </row>
    <row r="39" spans="1:7">
      <c r="A39" s="67"/>
      <c r="B39" s="5" t="s">
        <v>95</v>
      </c>
      <c r="C39" s="5" t="s">
        <v>100</v>
      </c>
      <c r="D39" s="1" t="s">
        <v>199</v>
      </c>
      <c r="E39">
        <f>176919.1-11822-4454.5</f>
        <v>160642.6</v>
      </c>
      <c r="F39" s="39">
        <v>128552.8</v>
      </c>
      <c r="G39" s="1">
        <v>150504.4</v>
      </c>
    </row>
    <row r="40" spans="1:7" ht="25.5">
      <c r="A40" s="67"/>
      <c r="B40" s="5" t="s">
        <v>95</v>
      </c>
      <c r="C40" s="5" t="s">
        <v>123</v>
      </c>
      <c r="D40" s="99" t="s">
        <v>4</v>
      </c>
      <c r="E40" s="39">
        <f>3731.6-586.1+20.2</f>
        <v>3165.7</v>
      </c>
      <c r="F40" s="39">
        <v>1953.5</v>
      </c>
      <c r="G40" s="39">
        <v>1946.2</v>
      </c>
    </row>
    <row r="41" spans="1:7" ht="15.75">
      <c r="A41" s="15">
        <v>4</v>
      </c>
      <c r="B41" s="4" t="s">
        <v>96</v>
      </c>
      <c r="C41" s="5"/>
      <c r="D41" s="49" t="s">
        <v>48</v>
      </c>
      <c r="E41" s="92">
        <f>SUM(E42:E45)</f>
        <v>91385.400000000009</v>
      </c>
      <c r="F41" s="92">
        <f t="shared" ref="F41:G41" si="2">SUM(F42:F45)</f>
        <v>52188.000000000007</v>
      </c>
      <c r="G41" s="92">
        <f t="shared" si="2"/>
        <v>36047.200000000004</v>
      </c>
    </row>
    <row r="42" spans="1:7" ht="15">
      <c r="A42" s="15"/>
      <c r="B42" s="16" t="s">
        <v>96</v>
      </c>
      <c r="C42" s="16" t="s">
        <v>89</v>
      </c>
      <c r="D42" s="51" t="s">
        <v>43</v>
      </c>
      <c r="E42" s="41">
        <f>9265+14.4</f>
        <v>9279.4</v>
      </c>
      <c r="F42" s="39">
        <f>6087.8-43.9</f>
        <v>6043.9000000000005</v>
      </c>
      <c r="G42" s="39">
        <v>6087.8</v>
      </c>
    </row>
    <row r="43" spans="1:7" ht="15">
      <c r="A43" s="15"/>
      <c r="B43" s="16" t="s">
        <v>96</v>
      </c>
      <c r="C43" s="16" t="s">
        <v>90</v>
      </c>
      <c r="D43" s="51" t="s">
        <v>42</v>
      </c>
      <c r="E43" s="41">
        <f>28914-0.6-303.7-99.7</f>
        <v>28510</v>
      </c>
      <c r="F43" s="39">
        <v>9613.7000000000007</v>
      </c>
      <c r="G43" s="39">
        <v>10942.2</v>
      </c>
    </row>
    <row r="44" spans="1:7">
      <c r="A44" s="67"/>
      <c r="B44" s="16" t="s">
        <v>96</v>
      </c>
      <c r="C44" s="16" t="s">
        <v>94</v>
      </c>
      <c r="D44" s="51" t="s">
        <v>49</v>
      </c>
      <c r="E44" s="41">
        <f>52111.9-80</f>
        <v>52031.9</v>
      </c>
      <c r="F44" s="149">
        <v>35349.5</v>
      </c>
      <c r="G44" s="1">
        <v>17836.3</v>
      </c>
    </row>
    <row r="45" spans="1:7" ht="27" customHeight="1">
      <c r="A45" s="67"/>
      <c r="B45" s="16" t="s">
        <v>96</v>
      </c>
      <c r="C45" s="82" t="s">
        <v>96</v>
      </c>
      <c r="D45" s="97" t="s">
        <v>496</v>
      </c>
      <c r="E45" s="41">
        <f>1180.9+303.7+79.5</f>
        <v>1564.1000000000001</v>
      </c>
      <c r="F45" s="41">
        <v>1180.9000000000001</v>
      </c>
      <c r="G45" s="41">
        <v>1180.9000000000001</v>
      </c>
    </row>
    <row r="46" spans="1:7" ht="15.75">
      <c r="A46" s="15">
        <v>5</v>
      </c>
      <c r="B46" s="4" t="s">
        <v>105</v>
      </c>
      <c r="C46" s="3"/>
      <c r="D46" s="10" t="s">
        <v>106</v>
      </c>
      <c r="E46" s="92">
        <f>SUM(E47:E52)</f>
        <v>658360.20000000007</v>
      </c>
      <c r="F46" s="92">
        <f t="shared" ref="F46:G46" si="3">SUM(F47:F52)</f>
        <v>622762</v>
      </c>
      <c r="G46" s="92">
        <f t="shared" si="3"/>
        <v>612597.59999999986</v>
      </c>
    </row>
    <row r="47" spans="1:7">
      <c r="A47" s="67"/>
      <c r="B47" s="5" t="s">
        <v>105</v>
      </c>
      <c r="C47" s="5" t="s">
        <v>89</v>
      </c>
      <c r="D47" s="1" t="s">
        <v>108</v>
      </c>
      <c r="E47" s="39">
        <v>166434.6</v>
      </c>
      <c r="F47" s="39">
        <v>159972.79999999999</v>
      </c>
      <c r="G47" s="39">
        <v>159595.70000000001</v>
      </c>
    </row>
    <row r="48" spans="1:7">
      <c r="A48" s="67"/>
      <c r="B48" s="5" t="s">
        <v>105</v>
      </c>
      <c r="C48" s="5" t="s">
        <v>90</v>
      </c>
      <c r="D48" s="1" t="s">
        <v>109</v>
      </c>
      <c r="E48" s="39">
        <f>401282.8+77.9</f>
        <v>401360.7</v>
      </c>
      <c r="F48" s="39">
        <f>377110.9+2567.6</f>
        <v>379678.5</v>
      </c>
      <c r="G48" s="39">
        <f>367528.1+2567.6</f>
        <v>370095.69999999995</v>
      </c>
    </row>
    <row r="49" spans="1:7">
      <c r="A49" s="67"/>
      <c r="B49" s="5" t="s">
        <v>105</v>
      </c>
      <c r="C49" s="5" t="s">
        <v>94</v>
      </c>
      <c r="D49" s="1" t="s">
        <v>157</v>
      </c>
      <c r="E49" s="39">
        <v>65710.3</v>
      </c>
      <c r="F49" s="1">
        <v>61818.2</v>
      </c>
      <c r="G49" s="1">
        <v>61613.7</v>
      </c>
    </row>
    <row r="50" spans="1:7" ht="25.5">
      <c r="A50" s="67"/>
      <c r="B50" s="5" t="s">
        <v>105</v>
      </c>
      <c r="C50" s="5" t="s">
        <v>96</v>
      </c>
      <c r="D50" s="99" t="s">
        <v>2</v>
      </c>
      <c r="E50" s="39">
        <f>250-40.8</f>
        <v>209.2</v>
      </c>
      <c r="F50" s="39">
        <v>250</v>
      </c>
      <c r="G50" s="39">
        <v>250</v>
      </c>
    </row>
    <row r="51" spans="1:7">
      <c r="A51" s="67"/>
      <c r="B51" s="5" t="s">
        <v>105</v>
      </c>
      <c r="C51" s="5" t="s">
        <v>105</v>
      </c>
      <c r="D51" s="1" t="s">
        <v>156</v>
      </c>
      <c r="E51" s="39">
        <f>10818.3-4</f>
        <v>10814.3</v>
      </c>
      <c r="F51" s="1">
        <v>7837.2</v>
      </c>
      <c r="G51" s="1">
        <v>7837.2</v>
      </c>
    </row>
    <row r="52" spans="1:7">
      <c r="A52" s="67"/>
      <c r="B52" s="5" t="s">
        <v>105</v>
      </c>
      <c r="C52" s="5" t="s">
        <v>100</v>
      </c>
      <c r="D52" s="1" t="s">
        <v>110</v>
      </c>
      <c r="E52" s="39">
        <f>13205.2+306.7+120+6.8-56.1+248.5</f>
        <v>13831.1</v>
      </c>
      <c r="F52" s="39">
        <v>13205.3</v>
      </c>
      <c r="G52" s="39">
        <v>13205.3</v>
      </c>
    </row>
    <row r="53" spans="1:7" ht="15.75">
      <c r="A53" s="15">
        <v>6</v>
      </c>
      <c r="B53" s="4" t="s">
        <v>102</v>
      </c>
      <c r="C53" s="3"/>
      <c r="D53" s="10" t="s">
        <v>20</v>
      </c>
      <c r="E53" s="92">
        <f>SUM(E54:E55)</f>
        <v>84779.5</v>
      </c>
      <c r="F53" s="92">
        <f t="shared" ref="F53:G53" si="4">SUM(F54:F55)</f>
        <v>63727.8</v>
      </c>
      <c r="G53" s="92">
        <f t="shared" si="4"/>
        <v>63727.8</v>
      </c>
    </row>
    <row r="54" spans="1:7">
      <c r="A54" s="67"/>
      <c r="B54" s="5" t="s">
        <v>102</v>
      </c>
      <c r="C54" s="5" t="s">
        <v>89</v>
      </c>
      <c r="D54" s="1" t="s">
        <v>107</v>
      </c>
      <c r="E54" s="39">
        <v>80536.2</v>
      </c>
      <c r="F54" s="1">
        <v>60276.800000000003</v>
      </c>
      <c r="G54" s="1">
        <v>60276.800000000003</v>
      </c>
    </row>
    <row r="55" spans="1:7" ht="25.5">
      <c r="A55" s="67"/>
      <c r="B55" s="5" t="s">
        <v>102</v>
      </c>
      <c r="C55" s="5" t="s">
        <v>95</v>
      </c>
      <c r="D55" s="99" t="s">
        <v>7</v>
      </c>
      <c r="E55" s="39">
        <v>4243.3</v>
      </c>
      <c r="F55" s="39">
        <v>3451</v>
      </c>
      <c r="G55" s="39">
        <v>3451</v>
      </c>
    </row>
    <row r="56" spans="1:7" ht="15.75">
      <c r="A56" s="15">
        <v>7</v>
      </c>
      <c r="B56" s="4" t="s">
        <v>111</v>
      </c>
      <c r="C56" s="3"/>
      <c r="D56" s="10" t="s">
        <v>112</v>
      </c>
      <c r="E56" s="92">
        <f>SUM(E57:E59)</f>
        <v>57195.600000000006</v>
      </c>
      <c r="F56" s="92">
        <f t="shared" ref="F56:G56" si="5">SUM(F57:F59)</f>
        <v>24787.4</v>
      </c>
      <c r="G56" s="92">
        <f t="shared" si="5"/>
        <v>28190.6</v>
      </c>
    </row>
    <row r="57" spans="1:7">
      <c r="A57" s="67"/>
      <c r="B57" s="5" t="s">
        <v>111</v>
      </c>
      <c r="C57" s="5" t="s">
        <v>89</v>
      </c>
      <c r="D57" s="1" t="s">
        <v>113</v>
      </c>
      <c r="E57" s="39">
        <f>1585.3+753</f>
        <v>2338.3000000000002</v>
      </c>
      <c r="F57" s="39">
        <v>1585.3</v>
      </c>
      <c r="G57" s="39">
        <v>1585.3</v>
      </c>
    </row>
    <row r="58" spans="1:7">
      <c r="A58" s="67"/>
      <c r="B58" s="5" t="s">
        <v>111</v>
      </c>
      <c r="C58" s="5" t="s">
        <v>94</v>
      </c>
      <c r="D58" s="1" t="s">
        <v>117</v>
      </c>
      <c r="E58" s="39">
        <f>1840+50</f>
        <v>1890</v>
      </c>
      <c r="F58" s="39">
        <v>1790</v>
      </c>
      <c r="G58" s="39">
        <v>1790</v>
      </c>
    </row>
    <row r="59" spans="1:7">
      <c r="A59" s="67"/>
      <c r="B59" s="5" t="s">
        <v>111</v>
      </c>
      <c r="C59" s="5" t="s">
        <v>95</v>
      </c>
      <c r="D59" s="1" t="s">
        <v>13</v>
      </c>
      <c r="E59" s="39">
        <v>52967.3</v>
      </c>
      <c r="F59" s="39">
        <f>21368.2+43.9</f>
        <v>21412.100000000002</v>
      </c>
      <c r="G59" s="39">
        <v>24815.3</v>
      </c>
    </row>
    <row r="60" spans="1:7" ht="15.75">
      <c r="A60" s="15">
        <v>8</v>
      </c>
      <c r="B60" s="4" t="s">
        <v>103</v>
      </c>
      <c r="C60" s="5"/>
      <c r="D60" s="10" t="s">
        <v>124</v>
      </c>
      <c r="E60" s="92">
        <f>SUM(E61:E61)</f>
        <v>5986</v>
      </c>
      <c r="F60" s="92">
        <f t="shared" ref="F60:G60" si="6">SUM(F61:F61)</f>
        <v>496.3</v>
      </c>
      <c r="G60" s="92">
        <f t="shared" si="6"/>
        <v>496.3</v>
      </c>
    </row>
    <row r="61" spans="1:7">
      <c r="A61" s="67"/>
      <c r="B61" s="5" t="s">
        <v>103</v>
      </c>
      <c r="C61" s="5" t="s">
        <v>90</v>
      </c>
      <c r="D61" s="99" t="s">
        <v>6</v>
      </c>
      <c r="E61" s="39">
        <f>5786+200</f>
        <v>5986</v>
      </c>
      <c r="F61" s="39">
        <v>496.3</v>
      </c>
      <c r="G61" s="39">
        <v>496.3</v>
      </c>
    </row>
    <row r="62" spans="1:7" ht="15.75">
      <c r="A62" s="15">
        <v>9</v>
      </c>
      <c r="B62" s="4" t="s">
        <v>123</v>
      </c>
      <c r="C62" s="5"/>
      <c r="D62" s="10" t="s">
        <v>8</v>
      </c>
      <c r="E62" s="92">
        <f>SUM(E63:E63)</f>
        <v>3836.5</v>
      </c>
      <c r="F62" s="92">
        <f t="shared" ref="F62:G62" si="7">SUM(F63:F63)</f>
        <v>3536.5</v>
      </c>
      <c r="G62" s="92">
        <f t="shared" si="7"/>
        <v>3536.5</v>
      </c>
    </row>
    <row r="63" spans="1:7" ht="25.5">
      <c r="A63" s="67"/>
      <c r="B63" s="5" t="s">
        <v>123</v>
      </c>
      <c r="C63" s="5" t="s">
        <v>95</v>
      </c>
      <c r="D63" s="97" t="s">
        <v>14</v>
      </c>
      <c r="E63" s="39">
        <v>3836.5</v>
      </c>
      <c r="F63" s="39">
        <v>3536.5</v>
      </c>
      <c r="G63" s="39">
        <v>3536.5</v>
      </c>
    </row>
    <row r="64" spans="1:7" ht="31.5">
      <c r="A64" s="15">
        <v>10</v>
      </c>
      <c r="B64" s="4" t="s">
        <v>9</v>
      </c>
      <c r="C64" s="5"/>
      <c r="D64" s="10" t="s">
        <v>646</v>
      </c>
      <c r="E64" s="92">
        <f>SUM(E65:E65)</f>
        <v>25</v>
      </c>
      <c r="F64" s="92">
        <f t="shared" ref="F64:G64" si="8">SUM(F65:F65)</f>
        <v>25</v>
      </c>
      <c r="G64" s="92">
        <f t="shared" si="8"/>
        <v>0</v>
      </c>
    </row>
    <row r="65" spans="1:7" ht="25.5">
      <c r="A65" s="67"/>
      <c r="B65" s="147">
        <v>13</v>
      </c>
      <c r="C65" s="5" t="s">
        <v>89</v>
      </c>
      <c r="D65" s="99" t="s">
        <v>647</v>
      </c>
      <c r="E65" s="39">
        <v>25</v>
      </c>
      <c r="F65" s="39">
        <v>25</v>
      </c>
      <c r="G65" s="39">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64"/>
  <sheetViews>
    <sheetView zoomScaleNormal="100" workbookViewId="0">
      <selection activeCell="F6" sqref="F6"/>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602</v>
      </c>
    </row>
    <row r="2" spans="1:8">
      <c r="E2" s="85" t="s">
        <v>604</v>
      </c>
    </row>
    <row r="3" spans="1:8">
      <c r="E3" s="85" t="s">
        <v>784</v>
      </c>
    </row>
    <row r="4" spans="1:8">
      <c r="E4" s="85" t="s">
        <v>682</v>
      </c>
    </row>
    <row r="5" spans="1:8">
      <c r="E5" s="85" t="s">
        <v>684</v>
      </c>
    </row>
    <row r="6" spans="1:8">
      <c r="E6" s="85" t="s">
        <v>144</v>
      </c>
    </row>
    <row r="7" spans="1:8">
      <c r="E7" s="85" t="s">
        <v>629</v>
      </c>
    </row>
    <row r="8" spans="1:8">
      <c r="E8" s="85"/>
    </row>
    <row r="9" spans="1:8">
      <c r="E9" s="85" t="s">
        <v>602</v>
      </c>
      <c r="F9" s="85"/>
      <c r="G9" s="86"/>
      <c r="H9" s="86"/>
    </row>
    <row r="10" spans="1:8">
      <c r="E10" s="85" t="s">
        <v>380</v>
      </c>
      <c r="F10" s="85"/>
      <c r="G10" s="86"/>
      <c r="H10" s="86"/>
    </row>
    <row r="11" spans="1:8">
      <c r="E11" s="85" t="s">
        <v>679</v>
      </c>
      <c r="F11" s="85"/>
      <c r="G11" s="86"/>
      <c r="H11" s="86"/>
    </row>
    <row r="12" spans="1:8">
      <c r="E12" s="85" t="s">
        <v>144</v>
      </c>
      <c r="F12" s="85"/>
      <c r="G12" s="86"/>
      <c r="H12" s="86"/>
    </row>
    <row r="13" spans="1:8">
      <c r="E13" s="85" t="s">
        <v>629</v>
      </c>
      <c r="F13" s="85"/>
      <c r="G13" s="86"/>
      <c r="H13" s="86"/>
    </row>
    <row r="14" spans="1:8">
      <c r="E14" s="85"/>
      <c r="F14" s="85"/>
      <c r="G14" s="86"/>
      <c r="H14" s="86"/>
    </row>
    <row r="15" spans="1:8">
      <c r="E15" s="85"/>
      <c r="F15" s="85"/>
      <c r="G15" s="86"/>
      <c r="H15" s="86"/>
    </row>
    <row r="16" spans="1:8" ht="75" customHeight="1">
      <c r="A16" s="178" t="s">
        <v>729</v>
      </c>
      <c r="B16" s="197"/>
      <c r="C16" s="197"/>
      <c r="D16" s="197"/>
      <c r="E16" s="197"/>
      <c r="F16" s="197"/>
      <c r="G16" s="198"/>
      <c r="H16" s="198"/>
    </row>
    <row r="18" spans="1:8">
      <c r="F18" s="6"/>
    </row>
    <row r="19" spans="1:8">
      <c r="A19" s="184" t="s">
        <v>118</v>
      </c>
      <c r="B19" s="184" t="s">
        <v>119</v>
      </c>
      <c r="C19" s="184" t="s">
        <v>120</v>
      </c>
      <c r="D19" s="184" t="s">
        <v>114</v>
      </c>
      <c r="E19" s="184" t="s">
        <v>91</v>
      </c>
      <c r="F19" s="190" t="s">
        <v>28</v>
      </c>
      <c r="G19" s="177"/>
      <c r="H19" s="177"/>
    </row>
    <row r="20" spans="1:8">
      <c r="A20" s="185"/>
      <c r="B20" s="185"/>
      <c r="C20" s="185"/>
      <c r="D20" s="185"/>
      <c r="E20" s="185"/>
      <c r="F20" s="194" t="s">
        <v>382</v>
      </c>
      <c r="G20" s="177" t="s">
        <v>141</v>
      </c>
      <c r="H20" s="177"/>
    </row>
    <row r="21" spans="1:8">
      <c r="A21" s="186"/>
      <c r="B21" s="186"/>
      <c r="C21" s="186"/>
      <c r="D21" s="186"/>
      <c r="E21" s="186"/>
      <c r="F21" s="196"/>
      <c r="G21" s="1" t="s">
        <v>482</v>
      </c>
      <c r="H21" s="1" t="s">
        <v>630</v>
      </c>
    </row>
    <row r="22" spans="1:8">
      <c r="A22" s="2">
        <v>1</v>
      </c>
      <c r="B22" s="2">
        <v>2</v>
      </c>
      <c r="C22" s="2">
        <v>3</v>
      </c>
      <c r="D22" s="2">
        <v>4</v>
      </c>
      <c r="E22" s="2">
        <v>5</v>
      </c>
      <c r="F22" s="2">
        <v>6</v>
      </c>
      <c r="G22" s="2">
        <v>7</v>
      </c>
      <c r="H22" s="2">
        <v>8</v>
      </c>
    </row>
    <row r="23" spans="1:8" ht="18">
      <c r="A23" s="12"/>
      <c r="B23" s="12"/>
      <c r="C23" s="12"/>
      <c r="D23" s="12"/>
      <c r="E23" s="9" t="s">
        <v>93</v>
      </c>
      <c r="F23" s="59">
        <f>F24+F99+F143+F247+F388+F550+F593+F630+F646+F660</f>
        <v>1247135.1000000001</v>
      </c>
      <c r="G23" s="59">
        <f>G24+G99+G143+G247+G388+G550+G593+G630+G646+G660</f>
        <v>1051187.2000000002</v>
      </c>
      <c r="H23" s="59">
        <f>H24+H99+H143+H247+H388+H550+H593+H630+H646+H660</f>
        <v>1049590.1000000001</v>
      </c>
    </row>
    <row r="24" spans="1:8" ht="31.5">
      <c r="A24" s="4" t="s">
        <v>89</v>
      </c>
      <c r="B24" s="11"/>
      <c r="C24" s="11"/>
      <c r="D24" s="11"/>
      <c r="E24" s="10" t="s">
        <v>92</v>
      </c>
      <c r="F24" s="92">
        <f>F25+F30+F37+F48+F53+F64+F69</f>
        <v>139828.09999999998</v>
      </c>
      <c r="G24" s="92">
        <f>G25+G30+G37+G48+G53+G64+G69</f>
        <v>117582.8</v>
      </c>
      <c r="H24" s="92">
        <f>H25+H30+H37+H48+H53+H64+H69</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9" t="s">
        <v>115</v>
      </c>
      <c r="F28" s="39">
        <f t="shared" si="0"/>
        <v>2367.1</v>
      </c>
      <c r="G28" s="39">
        <f t="shared" si="0"/>
        <v>1902</v>
      </c>
      <c r="H28" s="39">
        <f t="shared" si="0"/>
        <v>1902</v>
      </c>
    </row>
    <row r="29" spans="1:8" ht="38.25">
      <c r="A29" s="16" t="s">
        <v>89</v>
      </c>
      <c r="B29" s="16" t="s">
        <v>90</v>
      </c>
      <c r="C29" s="79">
        <v>9980022100</v>
      </c>
      <c r="D29" s="16" t="s">
        <v>63</v>
      </c>
      <c r="E29" s="99" t="s">
        <v>79</v>
      </c>
      <c r="F29" s="39">
        <f>1717-118.6+439.5+171.7+157.5-439.5-171.7+171.7+439.5</f>
        <v>2367.1</v>
      </c>
      <c r="G29" s="39">
        <f>1717-118.6+303.6</f>
        <v>1902</v>
      </c>
      <c r="H29" s="39">
        <f>1717-118.6+303.6</f>
        <v>1902</v>
      </c>
    </row>
    <row r="30" spans="1:8" ht="64.5">
      <c r="A30" s="30" t="s">
        <v>89</v>
      </c>
      <c r="B30" s="30" t="s">
        <v>94</v>
      </c>
      <c r="C30" s="31"/>
      <c r="D30" s="31"/>
      <c r="E30" s="48" t="s">
        <v>128</v>
      </c>
      <c r="F30" s="43">
        <f>F31</f>
        <v>4140.6000000000004</v>
      </c>
      <c r="G30" s="43">
        <f>G31</f>
        <v>4120.3</v>
      </c>
      <c r="H30" s="43">
        <f>H31</f>
        <v>4120.3</v>
      </c>
    </row>
    <row r="31" spans="1:8" ht="38.25">
      <c r="A31" s="16" t="s">
        <v>89</v>
      </c>
      <c r="B31" s="16" t="s">
        <v>94</v>
      </c>
      <c r="C31" s="79">
        <v>9990000000</v>
      </c>
      <c r="D31" s="16"/>
      <c r="E31" s="54" t="s">
        <v>29</v>
      </c>
      <c r="F31" s="41">
        <f>F32+F34</f>
        <v>4140.6000000000004</v>
      </c>
      <c r="G31" s="41">
        <f>G32+G34</f>
        <v>4120.3</v>
      </c>
      <c r="H31" s="41">
        <f>H32+H34</f>
        <v>4120.3</v>
      </c>
    </row>
    <row r="32" spans="1:8">
      <c r="A32" s="16" t="s">
        <v>89</v>
      </c>
      <c r="B32" s="16" t="s">
        <v>94</v>
      </c>
      <c r="C32" s="79">
        <v>9990022400</v>
      </c>
      <c r="D32" s="16"/>
      <c r="E32" s="98"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9" t="s">
        <v>628</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212</v>
      </c>
      <c r="E36" s="98" t="s">
        <v>213</v>
      </c>
      <c r="F36" s="39">
        <v>106.1</v>
      </c>
      <c r="G36" s="39">
        <v>106.1</v>
      </c>
      <c r="H36" s="39">
        <v>106.1</v>
      </c>
    </row>
    <row r="37" spans="1:8" s="32" customFormat="1" ht="76.5">
      <c r="A37" s="30" t="s">
        <v>89</v>
      </c>
      <c r="B37" s="30" t="s">
        <v>95</v>
      </c>
      <c r="C37" s="30"/>
      <c r="D37" s="30"/>
      <c r="E37" s="46" t="s">
        <v>125</v>
      </c>
      <c r="F37" s="40">
        <f>F38</f>
        <v>51926.69999999999</v>
      </c>
      <c r="G37" s="40">
        <f>G38</f>
        <v>52850.1</v>
      </c>
      <c r="H37" s="40">
        <f>H38</f>
        <v>52853.7</v>
      </c>
    </row>
    <row r="38" spans="1:8" ht="25.5">
      <c r="A38" s="16" t="s">
        <v>89</v>
      </c>
      <c r="B38" s="16" t="s">
        <v>95</v>
      </c>
      <c r="C38" s="79">
        <v>9900000000</v>
      </c>
      <c r="D38" s="16"/>
      <c r="E38" s="55" t="s">
        <v>145</v>
      </c>
      <c r="F38" s="39">
        <f>F39+F43</f>
        <v>51926.69999999999</v>
      </c>
      <c r="G38" s="39">
        <f>G39+G43</f>
        <v>52850.1</v>
      </c>
      <c r="H38" s="39">
        <f>H39+H43</f>
        <v>52853.7</v>
      </c>
    </row>
    <row r="39" spans="1:8" ht="25.5">
      <c r="A39" s="16" t="s">
        <v>89</v>
      </c>
      <c r="B39" s="16" t="s">
        <v>95</v>
      </c>
      <c r="C39" s="79">
        <v>9930000000</v>
      </c>
      <c r="D39" s="16"/>
      <c r="E39" s="22" t="s">
        <v>41</v>
      </c>
      <c r="F39" s="39">
        <f>F40</f>
        <v>422.6</v>
      </c>
      <c r="G39" s="39">
        <f>G40</f>
        <v>426.1</v>
      </c>
      <c r="H39" s="39">
        <f>H40</f>
        <v>429.7</v>
      </c>
    </row>
    <row r="40" spans="1:8" ht="62.25" customHeight="1">
      <c r="A40" s="16" t="s">
        <v>89</v>
      </c>
      <c r="B40" s="16" t="s">
        <v>95</v>
      </c>
      <c r="C40" s="79">
        <v>9930010510</v>
      </c>
      <c r="D40" s="16"/>
      <c r="E40" s="22" t="s">
        <v>15</v>
      </c>
      <c r="F40" s="39">
        <f>F41+F42</f>
        <v>422.6</v>
      </c>
      <c r="G40" s="39">
        <f>G41+G42</f>
        <v>426.1</v>
      </c>
      <c r="H40" s="39">
        <f>H41+H42</f>
        <v>429.7</v>
      </c>
    </row>
    <row r="41" spans="1:8" ht="38.25">
      <c r="A41" s="16" t="s">
        <v>89</v>
      </c>
      <c r="B41" s="16" t="s">
        <v>95</v>
      </c>
      <c r="C41" s="79">
        <v>9930010510</v>
      </c>
      <c r="D41" s="16" t="s">
        <v>63</v>
      </c>
      <c r="E41" s="102" t="s">
        <v>64</v>
      </c>
      <c r="F41" s="39">
        <v>397.3</v>
      </c>
      <c r="G41" s="39">
        <v>397.3</v>
      </c>
      <c r="H41" s="39">
        <v>397.3</v>
      </c>
    </row>
    <row r="42" spans="1:8" ht="38.25">
      <c r="A42" s="16" t="s">
        <v>89</v>
      </c>
      <c r="B42" s="16" t="s">
        <v>95</v>
      </c>
      <c r="C42" s="79">
        <v>9930010510</v>
      </c>
      <c r="D42" s="82" t="s">
        <v>212</v>
      </c>
      <c r="E42" s="98" t="s">
        <v>213</v>
      </c>
      <c r="F42" s="39">
        <v>25.3</v>
      </c>
      <c r="G42" s="39">
        <v>28.8</v>
      </c>
      <c r="H42" s="39">
        <v>32.4</v>
      </c>
    </row>
    <row r="43" spans="1:8" ht="38.25">
      <c r="A43" s="16" t="s">
        <v>89</v>
      </c>
      <c r="B43" s="16" t="s">
        <v>95</v>
      </c>
      <c r="C43" s="79">
        <v>9980000000</v>
      </c>
      <c r="D43" s="16"/>
      <c r="E43" s="54" t="s">
        <v>30</v>
      </c>
      <c r="F43" s="39">
        <f>F44</f>
        <v>51504.099999999991</v>
      </c>
      <c r="G43" s="39">
        <f>G44</f>
        <v>52424</v>
      </c>
      <c r="H43" s="39">
        <f>H44</f>
        <v>52424</v>
      </c>
    </row>
    <row r="44" spans="1:8">
      <c r="A44" s="16" t="s">
        <v>89</v>
      </c>
      <c r="B44" s="16" t="s">
        <v>95</v>
      </c>
      <c r="C44" s="139">
        <v>9980022200</v>
      </c>
      <c r="D44" s="21"/>
      <c r="E44" s="99" t="s">
        <v>116</v>
      </c>
      <c r="F44" s="39">
        <f>SUM(F45:F47)</f>
        <v>51504.099999999991</v>
      </c>
      <c r="G44" s="39">
        <f>SUM(G45:G47)</f>
        <v>52424</v>
      </c>
      <c r="H44" s="39">
        <f>SUM(H45:H47)</f>
        <v>52424</v>
      </c>
    </row>
    <row r="45" spans="1:8" ht="38.25">
      <c r="A45" s="16" t="s">
        <v>89</v>
      </c>
      <c r="B45" s="16" t="s">
        <v>95</v>
      </c>
      <c r="C45" s="139">
        <v>9980022200</v>
      </c>
      <c r="D45" s="16" t="s">
        <v>63</v>
      </c>
      <c r="E45" s="55" t="s">
        <v>64</v>
      </c>
      <c r="F45" s="39">
        <f>44902+375.4+4548.2-375.4+383-100-350-120-463.3</f>
        <v>48799.899999999994</v>
      </c>
      <c r="G45" s="39">
        <f>44902+4548.2</f>
        <v>49450.2</v>
      </c>
      <c r="H45" s="39">
        <f>44902+4548.2</f>
        <v>49450.2</v>
      </c>
    </row>
    <row r="46" spans="1:8" ht="38.25">
      <c r="A46" s="16" t="s">
        <v>89</v>
      </c>
      <c r="B46" s="16" t="s">
        <v>95</v>
      </c>
      <c r="C46" s="139">
        <v>9980022200</v>
      </c>
      <c r="D46" s="82" t="s">
        <v>212</v>
      </c>
      <c r="E46" s="98" t="s">
        <v>213</v>
      </c>
      <c r="F46" s="39">
        <f>2929.4-90-80.4-70</f>
        <v>2689</v>
      </c>
      <c r="G46" s="39">
        <v>2929.4</v>
      </c>
      <c r="H46" s="39">
        <v>2929.4</v>
      </c>
    </row>
    <row r="47" spans="1:8" ht="25.5">
      <c r="A47" s="16" t="s">
        <v>89</v>
      </c>
      <c r="B47" s="16" t="s">
        <v>95</v>
      </c>
      <c r="C47" s="139">
        <v>9980022200</v>
      </c>
      <c r="D47" s="82" t="s">
        <v>132</v>
      </c>
      <c r="E47" s="98" t="s">
        <v>133</v>
      </c>
      <c r="F47" s="41">
        <f>44.4-29.2</f>
        <v>15.2</v>
      </c>
      <c r="G47" s="41">
        <v>44.4</v>
      </c>
      <c r="H47" s="41">
        <v>44.4</v>
      </c>
    </row>
    <row r="48" spans="1:8" ht="14.25">
      <c r="A48" s="35" t="s">
        <v>89</v>
      </c>
      <c r="B48" s="35" t="s">
        <v>96</v>
      </c>
      <c r="C48" s="35"/>
      <c r="D48" s="35"/>
      <c r="E48" s="46" t="s">
        <v>291</v>
      </c>
      <c r="F48" s="42">
        <f>SUM(F49)</f>
        <v>2.1</v>
      </c>
      <c r="G48" s="42">
        <f>SUM(G49)</f>
        <v>2.2999999999999998</v>
      </c>
      <c r="H48" s="42">
        <f>SUM(H49)</f>
        <v>2</v>
      </c>
    </row>
    <row r="49" spans="1:8" ht="25.5">
      <c r="A49" s="16" t="s">
        <v>89</v>
      </c>
      <c r="B49" s="82" t="s">
        <v>96</v>
      </c>
      <c r="C49" s="79">
        <v>9900000000</v>
      </c>
      <c r="D49" s="16"/>
      <c r="E49" s="55" t="s">
        <v>146</v>
      </c>
      <c r="F49" s="39">
        <f t="shared" ref="F49:H51" si="1">F50</f>
        <v>2.1</v>
      </c>
      <c r="G49" s="39">
        <f t="shared" si="1"/>
        <v>2.2999999999999998</v>
      </c>
      <c r="H49" s="39">
        <f t="shared" si="1"/>
        <v>2</v>
      </c>
    </row>
    <row r="50" spans="1:8" ht="25.5">
      <c r="A50" s="16" t="s">
        <v>89</v>
      </c>
      <c r="B50" s="82" t="s">
        <v>96</v>
      </c>
      <c r="C50" s="79">
        <v>9930000000</v>
      </c>
      <c r="D50" s="16"/>
      <c r="E50" s="22" t="s">
        <v>41</v>
      </c>
      <c r="F50" s="39">
        <f t="shared" si="1"/>
        <v>2.1</v>
      </c>
      <c r="G50" s="39">
        <f t="shared" si="1"/>
        <v>2.2999999999999998</v>
      </c>
      <c r="H50" s="39">
        <f t="shared" si="1"/>
        <v>2</v>
      </c>
    </row>
    <row r="51" spans="1:8" ht="63.75">
      <c r="A51" s="16" t="s">
        <v>89</v>
      </c>
      <c r="B51" s="82" t="s">
        <v>96</v>
      </c>
      <c r="C51" s="79">
        <v>9930051200</v>
      </c>
      <c r="D51" s="16"/>
      <c r="E51" s="54" t="s">
        <v>284</v>
      </c>
      <c r="F51" s="107">
        <f t="shared" si="1"/>
        <v>2.1</v>
      </c>
      <c r="G51" s="39">
        <f t="shared" si="1"/>
        <v>2.2999999999999998</v>
      </c>
      <c r="H51" s="39">
        <f t="shared" si="1"/>
        <v>2</v>
      </c>
    </row>
    <row r="52" spans="1:8" ht="38.25">
      <c r="A52" s="16" t="s">
        <v>89</v>
      </c>
      <c r="B52" s="82" t="s">
        <v>96</v>
      </c>
      <c r="C52" s="79">
        <v>9930051200</v>
      </c>
      <c r="D52" s="82" t="s">
        <v>212</v>
      </c>
      <c r="E52" s="98" t="s">
        <v>213</v>
      </c>
      <c r="F52" s="107">
        <v>2.1</v>
      </c>
      <c r="G52" s="107">
        <v>2.2999999999999998</v>
      </c>
      <c r="H52" s="107">
        <v>2</v>
      </c>
    </row>
    <row r="53" spans="1:8" s="37" customFormat="1" ht="63.75">
      <c r="A53" s="35" t="s">
        <v>89</v>
      </c>
      <c r="B53" s="35" t="s">
        <v>97</v>
      </c>
      <c r="C53" s="35"/>
      <c r="D53" s="35"/>
      <c r="E53" s="46" t="s">
        <v>126</v>
      </c>
      <c r="F53" s="42">
        <f>SUM(F54)</f>
        <v>12809.3</v>
      </c>
      <c r="G53" s="42">
        <f>SUM(G54)</f>
        <v>12649.6</v>
      </c>
      <c r="H53" s="42">
        <f>SUM(H54)</f>
        <v>12649.6</v>
      </c>
    </row>
    <row r="54" spans="1:8" ht="25.5">
      <c r="A54" s="16" t="s">
        <v>89</v>
      </c>
      <c r="B54" s="16" t="s">
        <v>97</v>
      </c>
      <c r="C54" s="79">
        <v>9900000000</v>
      </c>
      <c r="D54" s="16"/>
      <c r="E54" s="55" t="s">
        <v>145</v>
      </c>
      <c r="F54" s="39">
        <f>F55+F60</f>
        <v>12809.3</v>
      </c>
      <c r="G54" s="39">
        <f>G55+G60</f>
        <v>12649.6</v>
      </c>
      <c r="H54" s="39">
        <f>H55+H60</f>
        <v>12649.6</v>
      </c>
    </row>
    <row r="55" spans="1:8" ht="38.25">
      <c r="A55" s="16" t="s">
        <v>89</v>
      </c>
      <c r="B55" s="16" t="s">
        <v>97</v>
      </c>
      <c r="C55" s="79">
        <v>9980000000</v>
      </c>
      <c r="D55" s="16"/>
      <c r="E55" s="54" t="s">
        <v>30</v>
      </c>
      <c r="F55" s="39">
        <f>F56</f>
        <v>10968.9</v>
      </c>
      <c r="G55" s="39">
        <f>G56</f>
        <v>10813.5</v>
      </c>
      <c r="H55" s="39">
        <f>H56</f>
        <v>10813.5</v>
      </c>
    </row>
    <row r="56" spans="1:8">
      <c r="A56" s="16" t="s">
        <v>89</v>
      </c>
      <c r="B56" s="16" t="s">
        <v>97</v>
      </c>
      <c r="C56" s="139">
        <v>9980022200</v>
      </c>
      <c r="D56" s="21"/>
      <c r="E56" s="99" t="s">
        <v>116</v>
      </c>
      <c r="F56" s="39">
        <f>SUM(F57:F59)</f>
        <v>10968.9</v>
      </c>
      <c r="G56" s="39">
        <f t="shared" ref="G56:H56" si="2">SUM(G57:G59)</f>
        <v>10813.5</v>
      </c>
      <c r="H56" s="39">
        <f t="shared" si="2"/>
        <v>10813.5</v>
      </c>
    </row>
    <row r="57" spans="1:8" ht="38.25">
      <c r="A57" s="16" t="s">
        <v>89</v>
      </c>
      <c r="B57" s="16" t="s">
        <v>97</v>
      </c>
      <c r="C57" s="139">
        <v>9980022200</v>
      </c>
      <c r="D57" s="16" t="s">
        <v>63</v>
      </c>
      <c r="E57" s="102" t="s">
        <v>64</v>
      </c>
      <c r="F57" s="39">
        <f>9404.1+64.1+940.4-64.1+56.5+48.6+99+81</f>
        <v>10629.6</v>
      </c>
      <c r="G57" s="39">
        <f>9404.1+940.5</f>
        <v>10344.6</v>
      </c>
      <c r="H57" s="39">
        <f>9404.1+940.5</f>
        <v>10344.6</v>
      </c>
    </row>
    <row r="58" spans="1:8" ht="38.25">
      <c r="A58" s="16" t="s">
        <v>89</v>
      </c>
      <c r="B58" s="16" t="s">
        <v>97</v>
      </c>
      <c r="C58" s="139">
        <v>9980022200</v>
      </c>
      <c r="D58" s="82" t="s">
        <v>212</v>
      </c>
      <c r="E58" s="98" t="s">
        <v>213</v>
      </c>
      <c r="F58" s="39">
        <f>468.9-3-48.6-81</f>
        <v>336.29999999999995</v>
      </c>
      <c r="G58" s="39">
        <v>468.9</v>
      </c>
      <c r="H58" s="39">
        <v>468.9</v>
      </c>
    </row>
    <row r="59" spans="1:8">
      <c r="A59" s="16" t="s">
        <v>89</v>
      </c>
      <c r="B59" s="16" t="s">
        <v>97</v>
      </c>
      <c r="C59" s="139">
        <v>9980022200</v>
      </c>
      <c r="D59" s="82" t="s">
        <v>716</v>
      </c>
      <c r="E59" s="98" t="s">
        <v>717</v>
      </c>
      <c r="F59" s="39">
        <v>3</v>
      </c>
      <c r="G59" s="39">
        <v>0</v>
      </c>
      <c r="H59" s="39">
        <v>0</v>
      </c>
    </row>
    <row r="60" spans="1:8" ht="38.25">
      <c r="A60" s="16" t="s">
        <v>89</v>
      </c>
      <c r="B60" s="16" t="s">
        <v>97</v>
      </c>
      <c r="C60" s="79">
        <v>9990000000</v>
      </c>
      <c r="D60" s="16"/>
      <c r="E60" s="54" t="s">
        <v>29</v>
      </c>
      <c r="F60" s="39">
        <f>F61</f>
        <v>1840.4</v>
      </c>
      <c r="G60" s="39">
        <f>G61</f>
        <v>1836.1000000000001</v>
      </c>
      <c r="H60" s="39">
        <f>H61</f>
        <v>1836.1000000000001</v>
      </c>
    </row>
    <row r="61" spans="1:8" ht="25.5">
      <c r="A61" s="16" t="s">
        <v>89</v>
      </c>
      <c r="B61" s="16" t="s">
        <v>97</v>
      </c>
      <c r="C61" s="79">
        <v>9990022300</v>
      </c>
      <c r="D61" s="21"/>
      <c r="E61" s="99" t="s">
        <v>201</v>
      </c>
      <c r="F61" s="41">
        <f>F62+F63</f>
        <v>1840.4</v>
      </c>
      <c r="G61" s="41">
        <f>G62+G63</f>
        <v>1836.1000000000001</v>
      </c>
      <c r="H61" s="41">
        <f>H62+H63</f>
        <v>1836.1000000000001</v>
      </c>
    </row>
    <row r="62" spans="1:8" ht="38.25">
      <c r="A62" s="16" t="s">
        <v>89</v>
      </c>
      <c r="B62" s="16" t="s">
        <v>97</v>
      </c>
      <c r="C62" s="79">
        <v>9990022300</v>
      </c>
      <c r="D62" s="16" t="s">
        <v>63</v>
      </c>
      <c r="E62" s="99" t="s">
        <v>79</v>
      </c>
      <c r="F62" s="39">
        <f>1668.4+164.2+16.3-109.5+109.5-12-17.8</f>
        <v>1819.1000000000001</v>
      </c>
      <c r="G62" s="39">
        <f>1668.4+164.2</f>
        <v>1832.6000000000001</v>
      </c>
      <c r="H62" s="39">
        <f>1668.4+164.2</f>
        <v>1832.6000000000001</v>
      </c>
    </row>
    <row r="63" spans="1:8" ht="38.25">
      <c r="A63" s="16" t="s">
        <v>89</v>
      </c>
      <c r="B63" s="16" t="s">
        <v>97</v>
      </c>
      <c r="C63" s="79">
        <v>9990022300</v>
      </c>
      <c r="D63" s="82" t="s">
        <v>212</v>
      </c>
      <c r="E63" s="98" t="s">
        <v>213</v>
      </c>
      <c r="F63" s="39">
        <f>3.5+17.8</f>
        <v>21.3</v>
      </c>
      <c r="G63" s="39">
        <v>3.5</v>
      </c>
      <c r="H63" s="39">
        <v>3.5</v>
      </c>
    </row>
    <row r="64" spans="1:8" ht="14.25">
      <c r="A64" s="35" t="s">
        <v>89</v>
      </c>
      <c r="B64" s="35" t="s">
        <v>103</v>
      </c>
      <c r="C64" s="35"/>
      <c r="D64" s="35"/>
      <c r="E64" s="27" t="s">
        <v>5</v>
      </c>
      <c r="F64" s="42">
        <f t="shared" ref="F64:H67" si="3">F65</f>
        <v>250</v>
      </c>
      <c r="G64" s="42">
        <f t="shared" si="3"/>
        <v>500</v>
      </c>
      <c r="H64" s="42">
        <f t="shared" si="3"/>
        <v>500</v>
      </c>
    </row>
    <row r="65" spans="1:8" ht="25.5">
      <c r="A65" s="16" t="s">
        <v>89</v>
      </c>
      <c r="B65" s="16" t="s">
        <v>103</v>
      </c>
      <c r="C65" s="79">
        <v>9900000000</v>
      </c>
      <c r="D65" s="16"/>
      <c r="E65" s="55" t="s">
        <v>145</v>
      </c>
      <c r="F65" s="94">
        <f t="shared" si="3"/>
        <v>250</v>
      </c>
      <c r="G65" s="94">
        <f t="shared" si="3"/>
        <v>500</v>
      </c>
      <c r="H65" s="94">
        <f t="shared" si="3"/>
        <v>500</v>
      </c>
    </row>
    <row r="66" spans="1:8" ht="14.25">
      <c r="A66" s="16" t="s">
        <v>89</v>
      </c>
      <c r="B66" s="16" t="s">
        <v>103</v>
      </c>
      <c r="C66" s="79">
        <v>9920000000</v>
      </c>
      <c r="D66" s="35"/>
      <c r="E66" s="126" t="s">
        <v>5</v>
      </c>
      <c r="F66" s="94">
        <f t="shared" si="3"/>
        <v>250</v>
      </c>
      <c r="G66" s="94">
        <f t="shared" si="3"/>
        <v>500</v>
      </c>
      <c r="H66" s="94">
        <f t="shared" si="3"/>
        <v>500</v>
      </c>
    </row>
    <row r="67" spans="1:8" ht="25.5">
      <c r="A67" s="16" t="s">
        <v>89</v>
      </c>
      <c r="B67" s="16" t="s">
        <v>103</v>
      </c>
      <c r="C67" s="79">
        <v>9920026100</v>
      </c>
      <c r="D67" s="21"/>
      <c r="E67" s="99" t="s">
        <v>11</v>
      </c>
      <c r="F67" s="39">
        <f t="shared" si="3"/>
        <v>250</v>
      </c>
      <c r="G67" s="39">
        <f t="shared" si="3"/>
        <v>500</v>
      </c>
      <c r="H67" s="39">
        <f t="shared" si="3"/>
        <v>500</v>
      </c>
    </row>
    <row r="68" spans="1:8">
      <c r="A68" s="16" t="s">
        <v>89</v>
      </c>
      <c r="B68" s="16" t="s">
        <v>103</v>
      </c>
      <c r="C68" s="79">
        <v>9920026100</v>
      </c>
      <c r="D68" s="16" t="s">
        <v>85</v>
      </c>
      <c r="E68" s="98" t="s">
        <v>86</v>
      </c>
      <c r="F68" s="39">
        <f>500+100-50-300</f>
        <v>250</v>
      </c>
      <c r="G68" s="39">
        <v>500</v>
      </c>
      <c r="H68" s="39">
        <v>500</v>
      </c>
    </row>
    <row r="69" spans="1:8" s="32" customFormat="1" ht="14.25">
      <c r="A69" s="30" t="s">
        <v>89</v>
      </c>
      <c r="B69" s="30" t="s">
        <v>9</v>
      </c>
      <c r="C69" s="33"/>
      <c r="D69" s="33"/>
      <c r="E69" s="45" t="s">
        <v>98</v>
      </c>
      <c r="F69" s="40">
        <f>F70+F81</f>
        <v>68332.299999999988</v>
      </c>
      <c r="G69" s="40">
        <f>G70+G81</f>
        <v>45558.5</v>
      </c>
      <c r="H69" s="40">
        <f>H70+H81</f>
        <v>44120.6</v>
      </c>
    </row>
    <row r="70" spans="1:8" s="32" customFormat="1" ht="89.25">
      <c r="A70" s="16" t="s">
        <v>89</v>
      </c>
      <c r="B70" s="16" t="s">
        <v>9</v>
      </c>
      <c r="C70" s="73" t="s">
        <v>70</v>
      </c>
      <c r="D70" s="16"/>
      <c r="E70" s="143" t="s">
        <v>615</v>
      </c>
      <c r="F70" s="96">
        <f>F71</f>
        <v>27463.200000000001</v>
      </c>
      <c r="G70" s="96">
        <f>G71</f>
        <v>7940</v>
      </c>
      <c r="H70" s="96">
        <f>H71</f>
        <v>7940</v>
      </c>
    </row>
    <row r="71" spans="1:8" s="32" customFormat="1" ht="38.25">
      <c r="A71" s="16" t="s">
        <v>89</v>
      </c>
      <c r="B71" s="16" t="s">
        <v>9</v>
      </c>
      <c r="C71" s="52" t="s">
        <v>71</v>
      </c>
      <c r="D71" s="16"/>
      <c r="E71" s="48" t="s">
        <v>158</v>
      </c>
      <c r="F71" s="93">
        <f>F72+F74+F76+F78</f>
        <v>27463.200000000001</v>
      </c>
      <c r="G71" s="93">
        <f>G72+G74+G76+G78</f>
        <v>7940</v>
      </c>
      <c r="H71" s="93">
        <f>H72+H74+H76+H78</f>
        <v>7940</v>
      </c>
    </row>
    <row r="72" spans="1:8" s="32" customFormat="1" ht="38.25">
      <c r="A72" s="16" t="s">
        <v>89</v>
      </c>
      <c r="B72" s="16" t="s">
        <v>9</v>
      </c>
      <c r="C72" s="82" t="s">
        <v>475</v>
      </c>
      <c r="D72" s="16"/>
      <c r="E72" s="97" t="s">
        <v>159</v>
      </c>
      <c r="F72" s="41">
        <f>F73</f>
        <v>261</v>
      </c>
      <c r="G72" s="41">
        <f>G73</f>
        <v>250</v>
      </c>
      <c r="H72" s="41">
        <f>H73</f>
        <v>250</v>
      </c>
    </row>
    <row r="73" spans="1:8" s="32" customFormat="1" ht="38.25">
      <c r="A73" s="16" t="s">
        <v>89</v>
      </c>
      <c r="B73" s="16" t="s">
        <v>9</v>
      </c>
      <c r="C73" s="82" t="s">
        <v>475</v>
      </c>
      <c r="D73" s="82" t="s">
        <v>212</v>
      </c>
      <c r="E73" s="98" t="s">
        <v>213</v>
      </c>
      <c r="F73" s="41">
        <f>250+40-29</f>
        <v>261</v>
      </c>
      <c r="G73" s="41">
        <v>250</v>
      </c>
      <c r="H73" s="41">
        <v>250</v>
      </c>
    </row>
    <row r="74" spans="1:8" s="32" customFormat="1" ht="51">
      <c r="A74" s="16" t="s">
        <v>89</v>
      </c>
      <c r="B74" s="16" t="s">
        <v>9</v>
      </c>
      <c r="C74" s="136" t="s">
        <v>476</v>
      </c>
      <c r="D74" s="16"/>
      <c r="E74" s="97" t="s">
        <v>160</v>
      </c>
      <c r="F74" s="41">
        <f>F75</f>
        <v>211</v>
      </c>
      <c r="G74" s="41">
        <f>G75</f>
        <v>100</v>
      </c>
      <c r="H74" s="41">
        <f>H75</f>
        <v>100</v>
      </c>
    </row>
    <row r="75" spans="1:8" s="32" customFormat="1" ht="38.25">
      <c r="A75" s="16" t="s">
        <v>89</v>
      </c>
      <c r="B75" s="16" t="s">
        <v>9</v>
      </c>
      <c r="C75" s="136" t="s">
        <v>476</v>
      </c>
      <c r="D75" s="82" t="s">
        <v>212</v>
      </c>
      <c r="E75" s="98" t="s">
        <v>213</v>
      </c>
      <c r="F75" s="41">
        <f>100+29+42+40</f>
        <v>211</v>
      </c>
      <c r="G75" s="41">
        <v>100</v>
      </c>
      <c r="H75" s="41">
        <v>100</v>
      </c>
    </row>
    <row r="76" spans="1:8" s="32" customFormat="1" ht="76.5">
      <c r="A76" s="16" t="s">
        <v>89</v>
      </c>
      <c r="B76" s="16" t="s">
        <v>9</v>
      </c>
      <c r="C76" s="136" t="s">
        <v>477</v>
      </c>
      <c r="D76" s="16"/>
      <c r="E76" s="97" t="s">
        <v>161</v>
      </c>
      <c r="F76" s="41">
        <f>F77</f>
        <v>324.8</v>
      </c>
      <c r="G76" s="41">
        <f>G77</f>
        <v>100</v>
      </c>
      <c r="H76" s="41">
        <f>H77</f>
        <v>100</v>
      </c>
    </row>
    <row r="77" spans="1:8" s="32" customFormat="1" ht="38.25">
      <c r="A77" s="16" t="s">
        <v>89</v>
      </c>
      <c r="B77" s="16" t="s">
        <v>9</v>
      </c>
      <c r="C77" s="136" t="s">
        <v>477</v>
      </c>
      <c r="D77" s="82" t="s">
        <v>212</v>
      </c>
      <c r="E77" s="98" t="s">
        <v>213</v>
      </c>
      <c r="F77" s="41">
        <f>330-5.2</f>
        <v>324.8</v>
      </c>
      <c r="G77" s="41">
        <v>100</v>
      </c>
      <c r="H77" s="41">
        <v>100</v>
      </c>
    </row>
    <row r="78" spans="1:8" s="32" customFormat="1" ht="38.25">
      <c r="A78" s="16" t="s">
        <v>89</v>
      </c>
      <c r="B78" s="16" t="s">
        <v>9</v>
      </c>
      <c r="C78" s="74">
        <v>310223174</v>
      </c>
      <c r="D78" s="16"/>
      <c r="E78" s="97" t="s">
        <v>162</v>
      </c>
      <c r="F78" s="41">
        <f>SUM(F79:F80)</f>
        <v>26666.400000000001</v>
      </c>
      <c r="G78" s="41">
        <f>SUM(G79:G80)</f>
        <v>7490</v>
      </c>
      <c r="H78" s="41">
        <f>SUM(H79:H80)</f>
        <v>7490</v>
      </c>
    </row>
    <row r="79" spans="1:8" s="32" customFormat="1" ht="38.25">
      <c r="A79" s="16" t="s">
        <v>89</v>
      </c>
      <c r="B79" s="16" t="s">
        <v>9</v>
      </c>
      <c r="C79" s="74">
        <v>310223174</v>
      </c>
      <c r="D79" s="82" t="s">
        <v>212</v>
      </c>
      <c r="E79" s="98" t="s">
        <v>213</v>
      </c>
      <c r="F79" s="41">
        <f>9373.3+1497.8+15466.2+97.4+222.5-36.8-40</f>
        <v>26580.400000000001</v>
      </c>
      <c r="G79" s="41">
        <v>7490</v>
      </c>
      <c r="H79" s="41">
        <v>7490</v>
      </c>
    </row>
    <row r="80" spans="1:8" s="32" customFormat="1" ht="25.5">
      <c r="A80" s="16" t="s">
        <v>89</v>
      </c>
      <c r="B80" s="16" t="s">
        <v>9</v>
      </c>
      <c r="C80" s="74">
        <v>310223174</v>
      </c>
      <c r="D80" s="82" t="s">
        <v>132</v>
      </c>
      <c r="E80" s="98" t="s">
        <v>133</v>
      </c>
      <c r="F80" s="41">
        <f>16.3+40.4+29.3</f>
        <v>86</v>
      </c>
      <c r="G80" s="41">
        <v>0</v>
      </c>
      <c r="H80" s="41">
        <v>0</v>
      </c>
    </row>
    <row r="81" spans="1:8" s="32" customFormat="1" ht="25.5">
      <c r="A81" s="5" t="s">
        <v>89</v>
      </c>
      <c r="B81" s="5" t="s">
        <v>9</v>
      </c>
      <c r="C81" s="83">
        <v>9900000000</v>
      </c>
      <c r="D81" s="5"/>
      <c r="E81" s="84" t="s">
        <v>145</v>
      </c>
      <c r="F81" s="96">
        <f>F82+F91+F86</f>
        <v>40869.099999999991</v>
      </c>
      <c r="G81" s="96">
        <f>G82+G91+G86</f>
        <v>37618.5</v>
      </c>
      <c r="H81" s="96">
        <f>H82+H91+H86</f>
        <v>36180.6</v>
      </c>
    </row>
    <row r="82" spans="1:8" s="32" customFormat="1" ht="25.5">
      <c r="A82" s="16" t="s">
        <v>89</v>
      </c>
      <c r="B82" s="16" t="s">
        <v>9</v>
      </c>
      <c r="C82" s="79">
        <v>9930000000</v>
      </c>
      <c r="D82" s="16"/>
      <c r="E82" s="22" t="s">
        <v>41</v>
      </c>
      <c r="F82" s="39">
        <f>F83</f>
        <v>239.6</v>
      </c>
      <c r="G82" s="39">
        <f>G83</f>
        <v>241.6</v>
      </c>
      <c r="H82" s="39">
        <f>H83</f>
        <v>243.7</v>
      </c>
    </row>
    <row r="83" spans="1:8" s="32" customFormat="1" ht="38.25" customHeight="1">
      <c r="A83" s="16" t="s">
        <v>89</v>
      </c>
      <c r="B83" s="16" t="s">
        <v>9</v>
      </c>
      <c r="C83" s="79">
        <v>9930010540</v>
      </c>
      <c r="D83" s="16"/>
      <c r="E83" s="22" t="s">
        <v>16</v>
      </c>
      <c r="F83" s="39">
        <f>F84+F85</f>
        <v>239.6</v>
      </c>
      <c r="G83" s="39">
        <f>G84+G85</f>
        <v>241.6</v>
      </c>
      <c r="H83" s="39">
        <f>H84+H85</f>
        <v>243.7</v>
      </c>
    </row>
    <row r="84" spans="1:8" s="32" customFormat="1" ht="38.25">
      <c r="A84" s="16" t="s">
        <v>89</v>
      </c>
      <c r="B84" s="16" t="s">
        <v>9</v>
      </c>
      <c r="C84" s="79">
        <v>9930010540</v>
      </c>
      <c r="D84" s="16" t="s">
        <v>63</v>
      </c>
      <c r="E84" s="102" t="s">
        <v>64</v>
      </c>
      <c r="F84" s="39">
        <v>217.7</v>
      </c>
      <c r="G84" s="39">
        <v>217.7</v>
      </c>
      <c r="H84" s="39">
        <v>217.7</v>
      </c>
    </row>
    <row r="85" spans="1:8" s="32" customFormat="1" ht="38.25">
      <c r="A85" s="16" t="s">
        <v>89</v>
      </c>
      <c r="B85" s="16" t="s">
        <v>9</v>
      </c>
      <c r="C85" s="79">
        <v>9930010540</v>
      </c>
      <c r="D85" s="82" t="s">
        <v>212</v>
      </c>
      <c r="E85" s="98" t="s">
        <v>213</v>
      </c>
      <c r="F85" s="39">
        <v>21.9</v>
      </c>
      <c r="G85" s="39">
        <v>23.9</v>
      </c>
      <c r="H85" s="39">
        <v>26</v>
      </c>
    </row>
    <row r="86" spans="1:8" s="32" customFormat="1" ht="38.25">
      <c r="A86" s="16" t="s">
        <v>89</v>
      </c>
      <c r="B86" s="16" t="s">
        <v>9</v>
      </c>
      <c r="C86" s="16" t="s">
        <v>25</v>
      </c>
      <c r="D86" s="16"/>
      <c r="E86" s="99" t="s">
        <v>39</v>
      </c>
      <c r="F86" s="39">
        <f>F87</f>
        <v>4803.7</v>
      </c>
      <c r="G86" s="39">
        <f>G87</f>
        <v>1270</v>
      </c>
      <c r="H86" s="39">
        <f>H87</f>
        <v>1270</v>
      </c>
    </row>
    <row r="87" spans="1:8" s="32" customFormat="1" ht="25.5">
      <c r="A87" s="16" t="s">
        <v>89</v>
      </c>
      <c r="B87" s="16" t="s">
        <v>9</v>
      </c>
      <c r="C87" s="82" t="s">
        <v>569</v>
      </c>
      <c r="D87" s="16"/>
      <c r="E87" s="99" t="s">
        <v>40</v>
      </c>
      <c r="F87" s="39">
        <f>SUM(F88:F90)</f>
        <v>4803.7</v>
      </c>
      <c r="G87" s="39">
        <f>SUM(G88:G90)</f>
        <v>1270</v>
      </c>
      <c r="H87" s="39">
        <f>SUM(H88:H90)</f>
        <v>1270</v>
      </c>
    </row>
    <row r="88" spans="1:8" s="32" customFormat="1" ht="38.25">
      <c r="A88" s="16" t="s">
        <v>89</v>
      </c>
      <c r="B88" s="16" t="s">
        <v>9</v>
      </c>
      <c r="C88" s="82" t="s">
        <v>569</v>
      </c>
      <c r="D88" s="82" t="s">
        <v>212</v>
      </c>
      <c r="E88" s="98" t="s">
        <v>213</v>
      </c>
      <c r="F88" s="39">
        <f>242+70</f>
        <v>312</v>
      </c>
      <c r="G88" s="39">
        <v>242</v>
      </c>
      <c r="H88" s="39">
        <v>242</v>
      </c>
    </row>
    <row r="89" spans="1:8" s="32" customFormat="1" ht="14.25">
      <c r="A89" s="16" t="s">
        <v>89</v>
      </c>
      <c r="B89" s="16" t="s">
        <v>9</v>
      </c>
      <c r="C89" s="82" t="s">
        <v>569</v>
      </c>
      <c r="D89" s="16" t="s">
        <v>82</v>
      </c>
      <c r="E89" s="98" t="s">
        <v>83</v>
      </c>
      <c r="F89" s="39">
        <v>426</v>
      </c>
      <c r="G89" s="39">
        <v>426</v>
      </c>
      <c r="H89" s="39">
        <v>426</v>
      </c>
    </row>
    <row r="90" spans="1:8" s="32" customFormat="1" ht="25.5">
      <c r="A90" s="16" t="s">
        <v>89</v>
      </c>
      <c r="B90" s="16" t="s">
        <v>9</v>
      </c>
      <c r="C90" s="82" t="s">
        <v>569</v>
      </c>
      <c r="D90" s="82" t="s">
        <v>132</v>
      </c>
      <c r="E90" s="98" t="s">
        <v>133</v>
      </c>
      <c r="F90" s="39">
        <f>602+893.7+210+90+100+350+1700+120</f>
        <v>4065.7</v>
      </c>
      <c r="G90" s="39">
        <v>602</v>
      </c>
      <c r="H90" s="39">
        <v>602</v>
      </c>
    </row>
    <row r="91" spans="1:8" s="32" customFormat="1" ht="25.5" customHeight="1">
      <c r="A91" s="16" t="s">
        <v>89</v>
      </c>
      <c r="B91" s="16" t="s">
        <v>9</v>
      </c>
      <c r="C91" s="82" t="s">
        <v>195</v>
      </c>
      <c r="D91" s="16"/>
      <c r="E91" s="99" t="s">
        <v>196</v>
      </c>
      <c r="F91" s="39">
        <f>F92+F95</f>
        <v>35825.799999999996</v>
      </c>
      <c r="G91" s="39">
        <f>G92+G95</f>
        <v>36106.9</v>
      </c>
      <c r="H91" s="39">
        <f>H92+H95</f>
        <v>34666.9</v>
      </c>
    </row>
    <row r="92" spans="1:8" s="32" customFormat="1" ht="38.25">
      <c r="A92" s="16" t="s">
        <v>89</v>
      </c>
      <c r="B92" s="16" t="s">
        <v>9</v>
      </c>
      <c r="C92" s="21" t="s">
        <v>571</v>
      </c>
      <c r="D92" s="47"/>
      <c r="E92" s="54" t="s">
        <v>287</v>
      </c>
      <c r="F92" s="41">
        <f>SUM(F93:F94)</f>
        <v>9986.7999999999993</v>
      </c>
      <c r="G92" s="41">
        <f>SUM(G93:G94)</f>
        <v>9871.1</v>
      </c>
      <c r="H92" s="41">
        <f>SUM(H93:H94)</f>
        <v>9871.1</v>
      </c>
    </row>
    <row r="93" spans="1:8" s="32" customFormat="1" ht="25.5">
      <c r="A93" s="16" t="s">
        <v>89</v>
      </c>
      <c r="B93" s="16" t="s">
        <v>9</v>
      </c>
      <c r="C93" s="21" t="s">
        <v>571</v>
      </c>
      <c r="D93" s="16" t="s">
        <v>65</v>
      </c>
      <c r="E93" s="102" t="s">
        <v>131</v>
      </c>
      <c r="F93" s="39">
        <f>9107.9+115.8</f>
        <v>9223.6999999999989</v>
      </c>
      <c r="G93" s="41">
        <f>8277.8+830.2</f>
        <v>9108</v>
      </c>
      <c r="H93" s="41">
        <f>8277.8+830.2</f>
        <v>9108</v>
      </c>
    </row>
    <row r="94" spans="1:8" s="32" customFormat="1" ht="38.25">
      <c r="A94" s="16" t="s">
        <v>89</v>
      </c>
      <c r="B94" s="16" t="s">
        <v>9</v>
      </c>
      <c r="C94" s="21" t="s">
        <v>571</v>
      </c>
      <c r="D94" s="82" t="s">
        <v>212</v>
      </c>
      <c r="E94" s="98" t="s">
        <v>213</v>
      </c>
      <c r="F94" s="41">
        <v>763.1</v>
      </c>
      <c r="G94" s="41">
        <v>763.1</v>
      </c>
      <c r="H94" s="41">
        <v>763.1</v>
      </c>
    </row>
    <row r="95" spans="1:8" s="32" customFormat="1" ht="54.75" customHeight="1">
      <c r="A95" s="16" t="s">
        <v>89</v>
      </c>
      <c r="B95" s="16" t="s">
        <v>9</v>
      </c>
      <c r="C95" s="21" t="s">
        <v>573</v>
      </c>
      <c r="D95" s="47"/>
      <c r="E95" s="54" t="s">
        <v>572</v>
      </c>
      <c r="F95" s="41">
        <f>SUM(F96:F98)</f>
        <v>25838.999999999996</v>
      </c>
      <c r="G95" s="41">
        <f>SUM(G96:G98)</f>
        <v>26235.8</v>
      </c>
      <c r="H95" s="41">
        <f>SUM(H96:H98)</f>
        <v>24795.8</v>
      </c>
    </row>
    <row r="96" spans="1:8" s="32" customFormat="1" ht="25.5">
      <c r="A96" s="16" t="s">
        <v>89</v>
      </c>
      <c r="B96" s="16" t="s">
        <v>9</v>
      </c>
      <c r="C96" s="21" t="s">
        <v>573</v>
      </c>
      <c r="D96" s="16" t="s">
        <v>65</v>
      </c>
      <c r="E96" s="102" t="s">
        <v>131</v>
      </c>
      <c r="F96" s="41">
        <f>9754.4+975.4-235</f>
        <v>10494.8</v>
      </c>
      <c r="G96" s="41">
        <f>9754.4+975.4</f>
        <v>10729.8</v>
      </c>
      <c r="H96" s="41">
        <f>9754.4+975.4</f>
        <v>10729.8</v>
      </c>
    </row>
    <row r="97" spans="1:8" s="32" customFormat="1" ht="38.25">
      <c r="A97" s="16" t="s">
        <v>89</v>
      </c>
      <c r="B97" s="16" t="s">
        <v>9</v>
      </c>
      <c r="C97" s="21" t="s">
        <v>573</v>
      </c>
      <c r="D97" s="82" t="s">
        <v>212</v>
      </c>
      <c r="E97" s="98" t="s">
        <v>213</v>
      </c>
      <c r="F97" s="41">
        <v>15223.4</v>
      </c>
      <c r="G97" s="41">
        <v>15385.2</v>
      </c>
      <c r="H97" s="41">
        <v>13945.2</v>
      </c>
    </row>
    <row r="98" spans="1:8" s="32" customFormat="1" ht="25.5">
      <c r="A98" s="16" t="s">
        <v>89</v>
      </c>
      <c r="B98" s="16" t="s">
        <v>9</v>
      </c>
      <c r="C98" s="21" t="s">
        <v>573</v>
      </c>
      <c r="D98" s="82" t="s">
        <v>132</v>
      </c>
      <c r="E98" s="98" t="s">
        <v>133</v>
      </c>
      <c r="F98" s="107">
        <v>120.8</v>
      </c>
      <c r="G98" s="107">
        <v>120.8</v>
      </c>
      <c r="H98" s="107">
        <v>120.8</v>
      </c>
    </row>
    <row r="99" spans="1:8" ht="45">
      <c r="A99" s="4" t="s">
        <v>94</v>
      </c>
      <c r="B99" s="3"/>
      <c r="C99" s="3"/>
      <c r="D99" s="3"/>
      <c r="E99" s="49" t="s">
        <v>99</v>
      </c>
      <c r="F99" s="92">
        <f>F100+F106+F132</f>
        <v>9582.2999999999993</v>
      </c>
      <c r="G99" s="92">
        <f>G100+G106+G132</f>
        <v>8813.6</v>
      </c>
      <c r="H99" s="92">
        <f>H100+H106+H132</f>
        <v>8843</v>
      </c>
    </row>
    <row r="100" spans="1:8" ht="15">
      <c r="A100" s="28" t="s">
        <v>94</v>
      </c>
      <c r="B100" s="28" t="s">
        <v>95</v>
      </c>
      <c r="C100" s="28"/>
      <c r="D100" s="34"/>
      <c r="E100" s="46" t="s">
        <v>18</v>
      </c>
      <c r="F100" s="40">
        <f>F103</f>
        <v>1202</v>
      </c>
      <c r="G100" s="40">
        <f>G103</f>
        <v>1268.1000000000001</v>
      </c>
      <c r="H100" s="40">
        <f>H103</f>
        <v>1268.1000000000001</v>
      </c>
    </row>
    <row r="101" spans="1:8" ht="25.5">
      <c r="A101" s="16" t="s">
        <v>94</v>
      </c>
      <c r="B101" s="16" t="s">
        <v>95</v>
      </c>
      <c r="C101" s="79">
        <v>9900000000</v>
      </c>
      <c r="D101" s="34"/>
      <c r="E101" s="55" t="s">
        <v>145</v>
      </c>
      <c r="F101" s="41">
        <f t="shared" ref="F101:H102" si="4">F102</f>
        <v>1202</v>
      </c>
      <c r="G101" s="41">
        <f t="shared" si="4"/>
        <v>1268.1000000000001</v>
      </c>
      <c r="H101" s="41">
        <f t="shared" si="4"/>
        <v>1268.1000000000001</v>
      </c>
    </row>
    <row r="102" spans="1:8" ht="25.5">
      <c r="A102" s="16" t="s">
        <v>94</v>
      </c>
      <c r="B102" s="16" t="s">
        <v>95</v>
      </c>
      <c r="C102" s="79">
        <v>9930000000</v>
      </c>
      <c r="D102" s="16"/>
      <c r="E102" s="22" t="s">
        <v>41</v>
      </c>
      <c r="F102" s="41">
        <f t="shared" si="4"/>
        <v>1202</v>
      </c>
      <c r="G102" s="41">
        <f t="shared" si="4"/>
        <v>1268.1000000000001</v>
      </c>
      <c r="H102" s="41">
        <f t="shared" si="4"/>
        <v>1268.1000000000001</v>
      </c>
    </row>
    <row r="103" spans="1:8" ht="51">
      <c r="A103" s="16" t="s">
        <v>94</v>
      </c>
      <c r="B103" s="16" t="s">
        <v>95</v>
      </c>
      <c r="C103" s="79">
        <v>9930059302</v>
      </c>
      <c r="D103" s="16"/>
      <c r="E103" s="99" t="s">
        <v>371</v>
      </c>
      <c r="F103" s="39">
        <f>SUM(F104:F105)</f>
        <v>1202</v>
      </c>
      <c r="G103" s="39">
        <f>SUM(G104:G105)</f>
        <v>1268.1000000000001</v>
      </c>
      <c r="H103" s="39">
        <f>SUM(H104:H105)</f>
        <v>1268.1000000000001</v>
      </c>
    </row>
    <row r="104" spans="1:8" ht="38.25">
      <c r="A104" s="16" t="s">
        <v>94</v>
      </c>
      <c r="B104" s="16" t="s">
        <v>95</v>
      </c>
      <c r="C104" s="79">
        <v>9930059302</v>
      </c>
      <c r="D104" s="16" t="s">
        <v>63</v>
      </c>
      <c r="E104" s="55" t="s">
        <v>64</v>
      </c>
      <c r="F104" s="39">
        <f>1136.9+3</f>
        <v>1139.9000000000001</v>
      </c>
      <c r="G104" s="39">
        <v>1136.9000000000001</v>
      </c>
      <c r="H104" s="39">
        <v>1136.9000000000001</v>
      </c>
    </row>
    <row r="105" spans="1:8" ht="38.25">
      <c r="A105" s="16" t="s">
        <v>94</v>
      </c>
      <c r="B105" s="16" t="s">
        <v>95</v>
      </c>
      <c r="C105" s="79">
        <v>9930059302</v>
      </c>
      <c r="D105" s="82" t="s">
        <v>212</v>
      </c>
      <c r="E105" s="98" t="s">
        <v>213</v>
      </c>
      <c r="F105" s="39">
        <f>65.1-3</f>
        <v>62.099999999999994</v>
      </c>
      <c r="G105" s="39">
        <v>131.19999999999999</v>
      </c>
      <c r="H105" s="39">
        <v>131.19999999999999</v>
      </c>
    </row>
    <row r="106" spans="1:8" s="32" customFormat="1" ht="51.75">
      <c r="A106" s="28" t="s">
        <v>94</v>
      </c>
      <c r="B106" s="28" t="s">
        <v>111</v>
      </c>
      <c r="C106" s="28"/>
      <c r="D106" s="34"/>
      <c r="E106" s="48" t="s">
        <v>383</v>
      </c>
      <c r="F106" s="40">
        <f>F107+F127</f>
        <v>8346.2999999999993</v>
      </c>
      <c r="G106" s="40">
        <f>G107+G127</f>
        <v>7511.5</v>
      </c>
      <c r="H106" s="40">
        <f>H107+H127</f>
        <v>7511.5</v>
      </c>
    </row>
    <row r="107" spans="1:8" s="32" customFormat="1" ht="90">
      <c r="A107" s="21" t="s">
        <v>94</v>
      </c>
      <c r="B107" s="21" t="s">
        <v>111</v>
      </c>
      <c r="C107" s="73" t="s">
        <v>51</v>
      </c>
      <c r="D107" s="16"/>
      <c r="E107" s="64" t="s">
        <v>622</v>
      </c>
      <c r="F107" s="59">
        <f>F108+F113+F117+F122</f>
        <v>2334.7999999999997</v>
      </c>
      <c r="G107" s="59">
        <f>G108+G113+G117+G122</f>
        <v>1500</v>
      </c>
      <c r="H107" s="59">
        <f>H108+H113+H117+H122</f>
        <v>1500</v>
      </c>
    </row>
    <row r="108" spans="1:8" s="32" customFormat="1" ht="63.75">
      <c r="A108" s="21" t="s">
        <v>94</v>
      </c>
      <c r="B108" s="21" t="s">
        <v>111</v>
      </c>
      <c r="C108" s="52" t="s">
        <v>52</v>
      </c>
      <c r="D108" s="16"/>
      <c r="E108" s="48" t="s">
        <v>204</v>
      </c>
      <c r="F108" s="93">
        <f>F109+F111</f>
        <v>337.4</v>
      </c>
      <c r="G108" s="93">
        <f>G109+G111</f>
        <v>80</v>
      </c>
      <c r="H108" s="93">
        <f>H109+H111</f>
        <v>80</v>
      </c>
    </row>
    <row r="109" spans="1:8" s="32" customFormat="1" ht="38.25">
      <c r="A109" s="21" t="s">
        <v>94</v>
      </c>
      <c r="B109" s="21" t="s">
        <v>111</v>
      </c>
      <c r="C109" s="74">
        <v>1110123305</v>
      </c>
      <c r="D109" s="16"/>
      <c r="E109" s="99" t="s">
        <v>218</v>
      </c>
      <c r="F109" s="39">
        <f>F110</f>
        <v>309.7</v>
      </c>
      <c r="G109" s="39">
        <f>G110</f>
        <v>40</v>
      </c>
      <c r="H109" s="39">
        <f>H110</f>
        <v>40</v>
      </c>
    </row>
    <row r="110" spans="1:8" s="32" customFormat="1" ht="38.25">
      <c r="A110" s="21" t="s">
        <v>94</v>
      </c>
      <c r="B110" s="21" t="s">
        <v>111</v>
      </c>
      <c r="C110" s="74">
        <v>1110123305</v>
      </c>
      <c r="D110" s="82" t="s">
        <v>212</v>
      </c>
      <c r="E110" s="98" t="s">
        <v>213</v>
      </c>
      <c r="F110" s="39">
        <f>297.4+12.3</f>
        <v>309.7</v>
      </c>
      <c r="G110" s="39">
        <v>40</v>
      </c>
      <c r="H110" s="39">
        <v>40</v>
      </c>
    </row>
    <row r="111" spans="1:8" s="32" customFormat="1" ht="50.25" customHeight="1">
      <c r="A111" s="21" t="s">
        <v>94</v>
      </c>
      <c r="B111" s="21" t="s">
        <v>111</v>
      </c>
      <c r="C111" s="74">
        <v>1110123310</v>
      </c>
      <c r="D111" s="16"/>
      <c r="E111" s="99" t="s">
        <v>206</v>
      </c>
      <c r="F111" s="41">
        <f>F112</f>
        <v>27.7</v>
      </c>
      <c r="G111" s="41">
        <f>G112</f>
        <v>40</v>
      </c>
      <c r="H111" s="41">
        <f>H112</f>
        <v>40</v>
      </c>
    </row>
    <row r="112" spans="1:8" s="32" customFormat="1" ht="38.25">
      <c r="A112" s="21" t="s">
        <v>94</v>
      </c>
      <c r="B112" s="21" t="s">
        <v>111</v>
      </c>
      <c r="C112" s="74">
        <v>1110123310</v>
      </c>
      <c r="D112" s="82" t="s">
        <v>212</v>
      </c>
      <c r="E112" s="98" t="s">
        <v>213</v>
      </c>
      <c r="F112" s="41">
        <f>40-12.3</f>
        <v>27.7</v>
      </c>
      <c r="G112" s="41">
        <v>40</v>
      </c>
      <c r="H112" s="41">
        <v>40</v>
      </c>
    </row>
    <row r="113" spans="1:8" s="32" customFormat="1" ht="38.25">
      <c r="A113" s="21" t="s">
        <v>94</v>
      </c>
      <c r="B113" s="21" t="s">
        <v>111</v>
      </c>
      <c r="C113" s="52" t="s">
        <v>53</v>
      </c>
      <c r="D113" s="16"/>
      <c r="E113" s="48" t="s">
        <v>200</v>
      </c>
      <c r="F113" s="93">
        <f>F114</f>
        <v>1972.3999999999999</v>
      </c>
      <c r="G113" s="93">
        <f>G114</f>
        <v>1400</v>
      </c>
      <c r="H113" s="93">
        <f>H114</f>
        <v>1400</v>
      </c>
    </row>
    <row r="114" spans="1:8" s="32" customFormat="1" ht="38.25">
      <c r="A114" s="21" t="s">
        <v>94</v>
      </c>
      <c r="B114" s="21" t="s">
        <v>111</v>
      </c>
      <c r="C114" s="74">
        <v>1120123315</v>
      </c>
      <c r="D114" s="16"/>
      <c r="E114" s="98" t="s">
        <v>537</v>
      </c>
      <c r="F114" s="41">
        <f>SUM(F115:F116)</f>
        <v>1972.3999999999999</v>
      </c>
      <c r="G114" s="41">
        <f>SUM(G115:G116)</f>
        <v>1400</v>
      </c>
      <c r="H114" s="41">
        <f>SUM(H115:H116)</f>
        <v>1400</v>
      </c>
    </row>
    <row r="115" spans="1:8" s="32" customFormat="1" ht="25.5">
      <c r="A115" s="21" t="s">
        <v>94</v>
      </c>
      <c r="B115" s="21" t="s">
        <v>111</v>
      </c>
      <c r="C115" s="74">
        <v>1120123315</v>
      </c>
      <c r="D115" s="82" t="s">
        <v>65</v>
      </c>
      <c r="E115" s="55" t="s">
        <v>131</v>
      </c>
      <c r="F115" s="41">
        <v>118.1</v>
      </c>
      <c r="G115" s="41">
        <v>51.2</v>
      </c>
      <c r="H115" s="41">
        <v>51.2</v>
      </c>
    </row>
    <row r="116" spans="1:8" s="32" customFormat="1" ht="38.25">
      <c r="A116" s="21" t="s">
        <v>94</v>
      </c>
      <c r="B116" s="21" t="s">
        <v>111</v>
      </c>
      <c r="C116" s="74">
        <v>1120123315</v>
      </c>
      <c r="D116" s="82" t="s">
        <v>212</v>
      </c>
      <c r="E116" s="98" t="s">
        <v>213</v>
      </c>
      <c r="F116" s="41">
        <v>1854.3</v>
      </c>
      <c r="G116" s="41">
        <v>1348.8</v>
      </c>
      <c r="H116" s="41">
        <v>1348.8</v>
      </c>
    </row>
    <row r="117" spans="1:8" s="32" customFormat="1" ht="51">
      <c r="A117" s="21" t="s">
        <v>94</v>
      </c>
      <c r="B117" s="21" t="s">
        <v>111</v>
      </c>
      <c r="C117" s="52" t="s">
        <v>54</v>
      </c>
      <c r="D117" s="16"/>
      <c r="E117" s="48" t="s">
        <v>253</v>
      </c>
      <c r="F117" s="93">
        <f>F118+F120</f>
        <v>10</v>
      </c>
      <c r="G117" s="93">
        <f>G118+G120</f>
        <v>5</v>
      </c>
      <c r="H117" s="93">
        <f>H118+H120</f>
        <v>5</v>
      </c>
    </row>
    <row r="118" spans="1:8" s="32" customFormat="1" ht="25.5">
      <c r="A118" s="21" t="s">
        <v>94</v>
      </c>
      <c r="B118" s="21" t="s">
        <v>111</v>
      </c>
      <c r="C118" s="74">
        <v>1130123320</v>
      </c>
      <c r="D118" s="16"/>
      <c r="E118" s="98" t="s">
        <v>254</v>
      </c>
      <c r="F118" s="41">
        <f>F119</f>
        <v>6.8</v>
      </c>
      <c r="G118" s="41">
        <f>G119</f>
        <v>4</v>
      </c>
      <c r="H118" s="41">
        <f>H119</f>
        <v>4</v>
      </c>
    </row>
    <row r="119" spans="1:8" s="32" customFormat="1" ht="38.25">
      <c r="A119" s="21" t="s">
        <v>94</v>
      </c>
      <c r="B119" s="21" t="s">
        <v>111</v>
      </c>
      <c r="C119" s="74">
        <v>1130123320</v>
      </c>
      <c r="D119" s="82" t="s">
        <v>212</v>
      </c>
      <c r="E119" s="98" t="s">
        <v>213</v>
      </c>
      <c r="F119" s="41">
        <f>8-1.2</f>
        <v>6.8</v>
      </c>
      <c r="G119" s="41">
        <v>4</v>
      </c>
      <c r="H119" s="41">
        <v>4</v>
      </c>
    </row>
    <row r="120" spans="1:8" s="32" customFormat="1" ht="38.25">
      <c r="A120" s="21" t="s">
        <v>94</v>
      </c>
      <c r="B120" s="21" t="s">
        <v>111</v>
      </c>
      <c r="C120" s="74">
        <v>1130123325</v>
      </c>
      <c r="D120" s="16"/>
      <c r="E120" s="98" t="s">
        <v>222</v>
      </c>
      <c r="F120" s="41">
        <f>F121</f>
        <v>3.2</v>
      </c>
      <c r="G120" s="41">
        <f>G121</f>
        <v>1</v>
      </c>
      <c r="H120" s="41">
        <f>H121</f>
        <v>1</v>
      </c>
    </row>
    <row r="121" spans="1:8" s="32" customFormat="1" ht="38.25">
      <c r="A121" s="21" t="s">
        <v>94</v>
      </c>
      <c r="B121" s="21" t="s">
        <v>111</v>
      </c>
      <c r="C121" s="74">
        <v>1130123325</v>
      </c>
      <c r="D121" s="82" t="s">
        <v>212</v>
      </c>
      <c r="E121" s="98" t="s">
        <v>213</v>
      </c>
      <c r="F121" s="41">
        <f>2+1.2</f>
        <v>3.2</v>
      </c>
      <c r="G121" s="41">
        <v>1</v>
      </c>
      <c r="H121" s="41">
        <v>1</v>
      </c>
    </row>
    <row r="122" spans="1:8" s="32" customFormat="1" ht="63.75">
      <c r="A122" s="21" t="s">
        <v>94</v>
      </c>
      <c r="B122" s="21" t="s">
        <v>111</v>
      </c>
      <c r="C122" s="52" t="s">
        <v>55</v>
      </c>
      <c r="D122" s="16"/>
      <c r="E122" s="48" t="s">
        <v>205</v>
      </c>
      <c r="F122" s="93">
        <f>F123+F125</f>
        <v>15</v>
      </c>
      <c r="G122" s="93">
        <f>G123+G125</f>
        <v>15</v>
      </c>
      <c r="H122" s="93">
        <f>H123+H125</f>
        <v>15</v>
      </c>
    </row>
    <row r="123" spans="1:8" s="32" customFormat="1" ht="25.5">
      <c r="A123" s="21" t="s">
        <v>94</v>
      </c>
      <c r="B123" s="21" t="s">
        <v>111</v>
      </c>
      <c r="C123" s="74">
        <v>1140123330</v>
      </c>
      <c r="D123" s="16"/>
      <c r="E123" s="98" t="s">
        <v>194</v>
      </c>
      <c r="F123" s="41">
        <f>F124</f>
        <v>12</v>
      </c>
      <c r="G123" s="41">
        <f>G124</f>
        <v>12</v>
      </c>
      <c r="H123" s="41">
        <f>H124</f>
        <v>12</v>
      </c>
    </row>
    <row r="124" spans="1:8" s="32" customFormat="1" ht="38.25">
      <c r="A124" s="21" t="s">
        <v>94</v>
      </c>
      <c r="B124" s="21" t="s">
        <v>111</v>
      </c>
      <c r="C124" s="74">
        <v>1140123330</v>
      </c>
      <c r="D124" s="82" t="s">
        <v>212</v>
      </c>
      <c r="E124" s="98" t="s">
        <v>213</v>
      </c>
      <c r="F124" s="41">
        <v>12</v>
      </c>
      <c r="G124" s="41">
        <v>12</v>
      </c>
      <c r="H124" s="41">
        <v>12</v>
      </c>
    </row>
    <row r="125" spans="1:8" s="32" customFormat="1" ht="38.25">
      <c r="A125" s="21" t="s">
        <v>94</v>
      </c>
      <c r="B125" s="21" t="s">
        <v>111</v>
      </c>
      <c r="C125" s="74">
        <v>1140123335</v>
      </c>
      <c r="D125" s="16"/>
      <c r="E125" s="98" t="s">
        <v>224</v>
      </c>
      <c r="F125" s="41">
        <f>F126</f>
        <v>3</v>
      </c>
      <c r="G125" s="41">
        <f>G126</f>
        <v>3</v>
      </c>
      <c r="H125" s="41">
        <f>H126</f>
        <v>3</v>
      </c>
    </row>
    <row r="126" spans="1:8" s="32" customFormat="1" ht="38.25">
      <c r="A126" s="21" t="s">
        <v>94</v>
      </c>
      <c r="B126" s="21" t="s">
        <v>111</v>
      </c>
      <c r="C126" s="74">
        <v>1140123335</v>
      </c>
      <c r="D126" s="82" t="s">
        <v>212</v>
      </c>
      <c r="E126" s="98" t="s">
        <v>213</v>
      </c>
      <c r="F126" s="41">
        <v>3</v>
      </c>
      <c r="G126" s="41">
        <v>3</v>
      </c>
      <c r="H126" s="41">
        <v>3</v>
      </c>
    </row>
    <row r="127" spans="1:8" s="32" customFormat="1" ht="25.5">
      <c r="A127" s="81" t="s">
        <v>94</v>
      </c>
      <c r="B127" s="81" t="s">
        <v>111</v>
      </c>
      <c r="C127" s="73" t="s">
        <v>195</v>
      </c>
      <c r="D127" s="33"/>
      <c r="E127" s="84" t="s">
        <v>145</v>
      </c>
      <c r="F127" s="61">
        <f>F128</f>
        <v>6011.5</v>
      </c>
      <c r="G127" s="61">
        <f>G128</f>
        <v>6011.5</v>
      </c>
      <c r="H127" s="61">
        <f>H128</f>
        <v>6011.5</v>
      </c>
    </row>
    <row r="128" spans="1:8" s="32" customFormat="1" ht="63.75">
      <c r="A128" s="21" t="s">
        <v>94</v>
      </c>
      <c r="B128" s="21" t="s">
        <v>111</v>
      </c>
      <c r="C128" s="21" t="s">
        <v>570</v>
      </c>
      <c r="D128" s="47"/>
      <c r="E128" s="54" t="s">
        <v>574</v>
      </c>
      <c r="F128" s="41">
        <f>SUM(F129:F131)</f>
        <v>6011.5</v>
      </c>
      <c r="G128" s="41">
        <f>SUM(G129:G131)</f>
        <v>6011.5</v>
      </c>
      <c r="H128" s="41">
        <f>SUM(H129:H131)</f>
        <v>6011.5</v>
      </c>
    </row>
    <row r="129" spans="1:8" s="32" customFormat="1" ht="25.5">
      <c r="A129" s="21" t="s">
        <v>94</v>
      </c>
      <c r="B129" s="21" t="s">
        <v>111</v>
      </c>
      <c r="C129" s="21" t="s">
        <v>570</v>
      </c>
      <c r="D129" s="16" t="s">
        <v>65</v>
      </c>
      <c r="E129" s="102" t="s">
        <v>131</v>
      </c>
      <c r="F129" s="41">
        <f>4638.4+525</f>
        <v>5163.3999999999996</v>
      </c>
      <c r="G129" s="41">
        <f>4638.4+525</f>
        <v>5163.3999999999996</v>
      </c>
      <c r="H129" s="41">
        <f>4638.4+525</f>
        <v>5163.3999999999996</v>
      </c>
    </row>
    <row r="130" spans="1:8" s="32" customFormat="1" ht="38.25">
      <c r="A130" s="21" t="s">
        <v>94</v>
      </c>
      <c r="B130" s="21" t="s">
        <v>111</v>
      </c>
      <c r="C130" s="21" t="s">
        <v>570</v>
      </c>
      <c r="D130" s="82" t="s">
        <v>212</v>
      </c>
      <c r="E130" s="98" t="s">
        <v>213</v>
      </c>
      <c r="F130" s="41">
        <v>843.1</v>
      </c>
      <c r="G130" s="41">
        <v>843.1</v>
      </c>
      <c r="H130" s="41">
        <v>843.1</v>
      </c>
    </row>
    <row r="131" spans="1:8" s="32" customFormat="1" ht="25.5">
      <c r="A131" s="21" t="s">
        <v>94</v>
      </c>
      <c r="B131" s="21" t="s">
        <v>111</v>
      </c>
      <c r="C131" s="21" t="s">
        <v>570</v>
      </c>
      <c r="D131" s="82" t="s">
        <v>132</v>
      </c>
      <c r="E131" s="98" t="s">
        <v>133</v>
      </c>
      <c r="F131" s="41">
        <v>5</v>
      </c>
      <c r="G131" s="41">
        <v>5</v>
      </c>
      <c r="H131" s="41">
        <v>5</v>
      </c>
    </row>
    <row r="132" spans="1:8" s="32" customFormat="1" ht="39">
      <c r="A132" s="28" t="s">
        <v>94</v>
      </c>
      <c r="B132" s="28" t="s">
        <v>122</v>
      </c>
      <c r="C132" s="28"/>
      <c r="D132" s="34"/>
      <c r="E132" s="46" t="s">
        <v>22</v>
      </c>
      <c r="F132" s="40">
        <f>F133+F137</f>
        <v>34</v>
      </c>
      <c r="G132" s="40">
        <f>G133+G137</f>
        <v>34</v>
      </c>
      <c r="H132" s="40">
        <f>H133+H137</f>
        <v>63.4</v>
      </c>
    </row>
    <row r="133" spans="1:8" s="32" customFormat="1" ht="89.25">
      <c r="A133" s="73" t="s">
        <v>94</v>
      </c>
      <c r="B133" s="73" t="s">
        <v>122</v>
      </c>
      <c r="C133" s="73" t="s">
        <v>72</v>
      </c>
      <c r="D133" s="16"/>
      <c r="E133" s="53" t="s">
        <v>621</v>
      </c>
      <c r="F133" s="96">
        <f t="shared" ref="F133:H135" si="5">F134</f>
        <v>34</v>
      </c>
      <c r="G133" s="96">
        <f t="shared" si="5"/>
        <v>34</v>
      </c>
      <c r="H133" s="96">
        <f t="shared" si="5"/>
        <v>34</v>
      </c>
    </row>
    <row r="134" spans="1:8" s="32" customFormat="1" ht="51">
      <c r="A134" s="21" t="s">
        <v>94</v>
      </c>
      <c r="B134" s="21" t="s">
        <v>122</v>
      </c>
      <c r="C134" s="52" t="s">
        <v>73</v>
      </c>
      <c r="D134" s="16"/>
      <c r="E134" s="60" t="s">
        <v>188</v>
      </c>
      <c r="F134" s="58">
        <f t="shared" si="5"/>
        <v>34</v>
      </c>
      <c r="G134" s="58">
        <f t="shared" si="5"/>
        <v>34</v>
      </c>
      <c r="H134" s="58">
        <f t="shared" si="5"/>
        <v>34</v>
      </c>
    </row>
    <row r="135" spans="1:8" s="32" customFormat="1" ht="63.75">
      <c r="A135" s="21" t="s">
        <v>94</v>
      </c>
      <c r="B135" s="21" t="s">
        <v>122</v>
      </c>
      <c r="C135" s="21" t="s">
        <v>534</v>
      </c>
      <c r="D135" s="16"/>
      <c r="E135" s="98" t="s">
        <v>345</v>
      </c>
      <c r="F135" s="41">
        <f t="shared" si="5"/>
        <v>34</v>
      </c>
      <c r="G135" s="41">
        <f t="shared" si="5"/>
        <v>34</v>
      </c>
      <c r="H135" s="41">
        <f t="shared" si="5"/>
        <v>34</v>
      </c>
    </row>
    <row r="136" spans="1:8" s="32" customFormat="1" ht="25.5">
      <c r="A136" s="21" t="s">
        <v>94</v>
      </c>
      <c r="B136" s="21" t="s">
        <v>122</v>
      </c>
      <c r="C136" s="21" t="s">
        <v>534</v>
      </c>
      <c r="D136" s="82" t="s">
        <v>65</v>
      </c>
      <c r="E136" s="55" t="s">
        <v>131</v>
      </c>
      <c r="F136" s="41">
        <v>34</v>
      </c>
      <c r="G136" s="41">
        <v>34</v>
      </c>
      <c r="H136" s="41">
        <v>34</v>
      </c>
    </row>
    <row r="137" spans="1:8" s="32" customFormat="1" ht="89.25" customHeight="1">
      <c r="A137" s="73" t="s">
        <v>94</v>
      </c>
      <c r="B137" s="73" t="s">
        <v>122</v>
      </c>
      <c r="C137" s="73" t="s">
        <v>228</v>
      </c>
      <c r="D137" s="16"/>
      <c r="E137" s="64" t="s">
        <v>627</v>
      </c>
      <c r="F137" s="96">
        <f>F138+F141</f>
        <v>0</v>
      </c>
      <c r="G137" s="96">
        <f>G138+G141</f>
        <v>0</v>
      </c>
      <c r="H137" s="96">
        <f>H138+H141</f>
        <v>29.4</v>
      </c>
    </row>
    <row r="138" spans="1:8" s="32" customFormat="1" ht="51">
      <c r="A138" s="21" t="s">
        <v>94</v>
      </c>
      <c r="B138" s="21" t="s">
        <v>122</v>
      </c>
      <c r="C138" s="52" t="s">
        <v>229</v>
      </c>
      <c r="D138" s="16"/>
      <c r="E138" s="48" t="s">
        <v>230</v>
      </c>
      <c r="F138" s="58">
        <f>F139+F141</f>
        <v>0</v>
      </c>
      <c r="G138" s="58">
        <f>G139</f>
        <v>0</v>
      </c>
      <c r="H138" s="58">
        <f>H139</f>
        <v>23.4</v>
      </c>
    </row>
    <row r="139" spans="1:8" s="32" customFormat="1" ht="38.25">
      <c r="A139" s="21" t="s">
        <v>94</v>
      </c>
      <c r="B139" s="21" t="s">
        <v>122</v>
      </c>
      <c r="C139" s="21" t="s">
        <v>567</v>
      </c>
      <c r="D139" s="16"/>
      <c r="E139" s="98" t="s">
        <v>364</v>
      </c>
      <c r="F139" s="94">
        <f>F140</f>
        <v>0</v>
      </c>
      <c r="G139" s="94">
        <f>G140</f>
        <v>0</v>
      </c>
      <c r="H139" s="94">
        <f>H140</f>
        <v>23.4</v>
      </c>
    </row>
    <row r="140" spans="1:8" s="32" customFormat="1" ht="38.25">
      <c r="A140" s="21" t="s">
        <v>94</v>
      </c>
      <c r="B140" s="21" t="s">
        <v>122</v>
      </c>
      <c r="C140" s="21" t="s">
        <v>567</v>
      </c>
      <c r="D140" s="82" t="s">
        <v>212</v>
      </c>
      <c r="E140" s="98" t="s">
        <v>213</v>
      </c>
      <c r="F140" s="41">
        <v>0</v>
      </c>
      <c r="G140" s="41">
        <v>0</v>
      </c>
      <c r="H140" s="41">
        <v>23.4</v>
      </c>
    </row>
    <row r="141" spans="1:8" s="32" customFormat="1" ht="25.5">
      <c r="A141" s="21" t="s">
        <v>94</v>
      </c>
      <c r="B141" s="21" t="s">
        <v>122</v>
      </c>
      <c r="C141" s="21" t="s">
        <v>568</v>
      </c>
      <c r="D141" s="16"/>
      <c r="E141" s="98" t="s">
        <v>365</v>
      </c>
      <c r="F141" s="94">
        <f>F142</f>
        <v>0</v>
      </c>
      <c r="G141" s="94">
        <f>G142</f>
        <v>0</v>
      </c>
      <c r="H141" s="94">
        <f>H142</f>
        <v>6</v>
      </c>
    </row>
    <row r="142" spans="1:8" s="32" customFormat="1" ht="38.25">
      <c r="A142" s="21" t="s">
        <v>94</v>
      </c>
      <c r="B142" s="21" t="s">
        <v>122</v>
      </c>
      <c r="C142" s="21" t="s">
        <v>568</v>
      </c>
      <c r="D142" s="82" t="s">
        <v>212</v>
      </c>
      <c r="E142" s="98" t="s">
        <v>213</v>
      </c>
      <c r="F142" s="41">
        <v>0</v>
      </c>
      <c r="G142" s="41">
        <v>0</v>
      </c>
      <c r="H142" s="41">
        <v>6</v>
      </c>
    </row>
    <row r="143" spans="1:8" s="32" customFormat="1" ht="15.75">
      <c r="A143" s="4" t="s">
        <v>95</v>
      </c>
      <c r="B143" s="3"/>
      <c r="C143" s="3"/>
      <c r="D143" s="3"/>
      <c r="E143" s="49" t="s">
        <v>101</v>
      </c>
      <c r="F143" s="92">
        <f>F144+F153+F164+F209</f>
        <v>196156.50000000006</v>
      </c>
      <c r="G143" s="92">
        <f>G144+G153+G164+G209</f>
        <v>157267.80000000002</v>
      </c>
      <c r="H143" s="92">
        <f>H144+H153+H164+H209</f>
        <v>180002.90000000002</v>
      </c>
    </row>
    <row r="144" spans="1:8" s="32" customFormat="1" ht="14.25">
      <c r="A144" s="30" t="s">
        <v>95</v>
      </c>
      <c r="B144" s="30" t="s">
        <v>96</v>
      </c>
      <c r="C144" s="30"/>
      <c r="D144" s="30"/>
      <c r="E144" s="45" t="s">
        <v>104</v>
      </c>
      <c r="F144" s="40">
        <f>F145+F149</f>
        <v>5021.8</v>
      </c>
      <c r="G144" s="40">
        <f t="shared" ref="G144:H144" si="6">G145+G149</f>
        <v>1563</v>
      </c>
      <c r="H144" s="40">
        <f t="shared" si="6"/>
        <v>2222.9</v>
      </c>
    </row>
    <row r="145" spans="1:8" s="32" customFormat="1" ht="89.25">
      <c r="A145" s="82" t="s">
        <v>95</v>
      </c>
      <c r="B145" s="82" t="s">
        <v>96</v>
      </c>
      <c r="C145" s="73" t="s">
        <v>70</v>
      </c>
      <c r="D145" s="16"/>
      <c r="E145" s="143" t="s">
        <v>615</v>
      </c>
      <c r="F145" s="96">
        <f>F146</f>
        <v>3973</v>
      </c>
      <c r="G145" s="96">
        <f>G146</f>
        <v>1500</v>
      </c>
      <c r="H145" s="96">
        <f>H146</f>
        <v>2159.9</v>
      </c>
    </row>
    <row r="146" spans="1:8" s="32" customFormat="1" ht="38.25">
      <c r="A146" s="82" t="s">
        <v>95</v>
      </c>
      <c r="B146" s="82" t="s">
        <v>96</v>
      </c>
      <c r="C146" s="52" t="s">
        <v>164</v>
      </c>
      <c r="D146" s="16"/>
      <c r="E146" s="99" t="s">
        <v>163</v>
      </c>
      <c r="F146" s="39">
        <f>F147</f>
        <v>3973</v>
      </c>
      <c r="G146" s="39">
        <f t="shared" ref="G146:H146" si="7">G147</f>
        <v>1500</v>
      </c>
      <c r="H146" s="39">
        <f t="shared" si="7"/>
        <v>2159.9</v>
      </c>
    </row>
    <row r="147" spans="1:8" s="32" customFormat="1" ht="38.25">
      <c r="A147" s="82" t="s">
        <v>95</v>
      </c>
      <c r="B147" s="82" t="s">
        <v>96</v>
      </c>
      <c r="C147" s="21" t="s">
        <v>674</v>
      </c>
      <c r="D147" s="16"/>
      <c r="E147" s="99" t="s">
        <v>737</v>
      </c>
      <c r="F147" s="39">
        <f>F148</f>
        <v>3973</v>
      </c>
      <c r="G147" s="39">
        <f t="shared" ref="G147" si="8">G148</f>
        <v>1500</v>
      </c>
      <c r="H147" s="39">
        <f t="shared" ref="H147" si="9">H148</f>
        <v>2159.9</v>
      </c>
    </row>
    <row r="148" spans="1:8" s="32" customFormat="1" ht="38.25">
      <c r="A148" s="82" t="s">
        <v>95</v>
      </c>
      <c r="B148" s="82" t="s">
        <v>96</v>
      </c>
      <c r="C148" s="21" t="s">
        <v>674</v>
      </c>
      <c r="D148" s="82" t="s">
        <v>212</v>
      </c>
      <c r="E148" s="98" t="s">
        <v>213</v>
      </c>
      <c r="F148" s="39">
        <f>43.7+3929.3</f>
        <v>3973</v>
      </c>
      <c r="G148" s="39">
        <f>16.5+1483.5</f>
        <v>1500</v>
      </c>
      <c r="H148" s="39">
        <f>23.8+2136.1</f>
        <v>2159.9</v>
      </c>
    </row>
    <row r="149" spans="1:8" s="32" customFormat="1" ht="89.25">
      <c r="A149" s="5" t="s">
        <v>95</v>
      </c>
      <c r="B149" s="5" t="s">
        <v>96</v>
      </c>
      <c r="C149" s="76">
        <v>400000000</v>
      </c>
      <c r="D149" s="30"/>
      <c r="E149" s="142" t="s">
        <v>614</v>
      </c>
      <c r="F149" s="96">
        <f t="shared" ref="F149:H151" si="10">F150</f>
        <v>1048.8</v>
      </c>
      <c r="G149" s="96">
        <f t="shared" si="10"/>
        <v>63</v>
      </c>
      <c r="H149" s="96">
        <f t="shared" si="10"/>
        <v>63</v>
      </c>
    </row>
    <row r="150" spans="1:8" s="32" customFormat="1" ht="51.75" customHeight="1">
      <c r="A150" s="47" t="s">
        <v>95</v>
      </c>
      <c r="B150" s="47" t="s">
        <v>96</v>
      </c>
      <c r="C150" s="75">
        <v>410000000</v>
      </c>
      <c r="D150" s="30"/>
      <c r="E150" s="46" t="s">
        <v>480</v>
      </c>
      <c r="F150" s="93">
        <f>F151</f>
        <v>1048.8</v>
      </c>
      <c r="G150" s="93">
        <f t="shared" si="10"/>
        <v>63</v>
      </c>
      <c r="H150" s="93">
        <f t="shared" si="10"/>
        <v>63</v>
      </c>
    </row>
    <row r="151" spans="1:8" s="32" customFormat="1" ht="25.5">
      <c r="A151" s="82" t="s">
        <v>95</v>
      </c>
      <c r="B151" s="82" t="s">
        <v>96</v>
      </c>
      <c r="C151" s="136" t="s">
        <v>696</v>
      </c>
      <c r="D151" s="16"/>
      <c r="E151" s="99" t="s">
        <v>170</v>
      </c>
      <c r="F151" s="39">
        <f>F152</f>
        <v>1048.8</v>
      </c>
      <c r="G151" s="39">
        <f t="shared" si="10"/>
        <v>63</v>
      </c>
      <c r="H151" s="39">
        <f t="shared" si="10"/>
        <v>63</v>
      </c>
    </row>
    <row r="152" spans="1:8" s="32" customFormat="1" ht="38.25">
      <c r="A152" s="82" t="s">
        <v>95</v>
      </c>
      <c r="B152" s="82" t="s">
        <v>96</v>
      </c>
      <c r="C152" s="136" t="s">
        <v>696</v>
      </c>
      <c r="D152" s="82" t="s">
        <v>212</v>
      </c>
      <c r="E152" s="98" t="s">
        <v>213</v>
      </c>
      <c r="F152" s="39">
        <f>1382.3-333.5</f>
        <v>1048.8</v>
      </c>
      <c r="G152" s="39">
        <v>63</v>
      </c>
      <c r="H152" s="39">
        <v>63</v>
      </c>
    </row>
    <row r="153" spans="1:8" ht="14.25">
      <c r="A153" s="30" t="s">
        <v>95</v>
      </c>
      <c r="B153" s="30" t="s">
        <v>102</v>
      </c>
      <c r="C153" s="30"/>
      <c r="D153" s="30"/>
      <c r="E153" s="27" t="s">
        <v>1</v>
      </c>
      <c r="F153" s="40">
        <f t="shared" ref="F153:H154" si="11">F154</f>
        <v>27326.400000000001</v>
      </c>
      <c r="G153" s="40">
        <f t="shared" si="11"/>
        <v>25353.4</v>
      </c>
      <c r="H153" s="40">
        <f t="shared" si="11"/>
        <v>25329.4</v>
      </c>
    </row>
    <row r="154" spans="1:8" ht="102">
      <c r="A154" s="5" t="s">
        <v>95</v>
      </c>
      <c r="B154" s="5" t="s">
        <v>102</v>
      </c>
      <c r="C154" s="73" t="s">
        <v>68</v>
      </c>
      <c r="D154" s="30"/>
      <c r="E154" s="142" t="s">
        <v>620</v>
      </c>
      <c r="F154" s="96">
        <f t="shared" si="11"/>
        <v>27326.400000000001</v>
      </c>
      <c r="G154" s="96">
        <f t="shared" si="11"/>
        <v>25353.4</v>
      </c>
      <c r="H154" s="96">
        <f t="shared" si="11"/>
        <v>25329.4</v>
      </c>
    </row>
    <row r="155" spans="1:8" ht="63.75">
      <c r="A155" s="16" t="s">
        <v>95</v>
      </c>
      <c r="B155" s="16" t="s">
        <v>102</v>
      </c>
      <c r="C155" s="52" t="s">
        <v>215</v>
      </c>
      <c r="D155" s="30"/>
      <c r="E155" s="46" t="s">
        <v>187</v>
      </c>
      <c r="F155" s="93">
        <f>F156+F158+F160+F162</f>
        <v>27326.400000000001</v>
      </c>
      <c r="G155" s="93">
        <f>G156+G158+G160+G162</f>
        <v>25353.4</v>
      </c>
      <c r="H155" s="93">
        <f>H156+H158+H160+H162</f>
        <v>25329.4</v>
      </c>
    </row>
    <row r="156" spans="1:8" ht="76.5">
      <c r="A156" s="16" t="s">
        <v>95</v>
      </c>
      <c r="B156" s="16" t="s">
        <v>102</v>
      </c>
      <c r="C156" s="74" t="s">
        <v>308</v>
      </c>
      <c r="D156" s="30"/>
      <c r="E156" s="97" t="s">
        <v>216</v>
      </c>
      <c r="F156" s="39">
        <f>F157</f>
        <v>5028.8</v>
      </c>
      <c r="G156" s="39">
        <f>G157</f>
        <v>5039.7</v>
      </c>
      <c r="H156" s="39">
        <f>H157</f>
        <v>5054.8999999999996</v>
      </c>
    </row>
    <row r="157" spans="1:8" ht="38.25">
      <c r="A157" s="16" t="s">
        <v>95</v>
      </c>
      <c r="B157" s="16" t="s">
        <v>102</v>
      </c>
      <c r="C157" s="74" t="s">
        <v>308</v>
      </c>
      <c r="D157" s="82" t="s">
        <v>212</v>
      </c>
      <c r="E157" s="98" t="s">
        <v>213</v>
      </c>
      <c r="F157" s="39">
        <v>5028.8</v>
      </c>
      <c r="G157" s="39">
        <v>5039.7</v>
      </c>
      <c r="H157" s="39">
        <v>5054.8999999999996</v>
      </c>
    </row>
    <row r="158" spans="1:8" ht="50.25" customHeight="1">
      <c r="A158" s="16" t="s">
        <v>95</v>
      </c>
      <c r="B158" s="16" t="s">
        <v>102</v>
      </c>
      <c r="C158" s="74">
        <v>920110300</v>
      </c>
      <c r="D158" s="16"/>
      <c r="E158" s="97" t="s">
        <v>755</v>
      </c>
      <c r="F158" s="39">
        <f>F159</f>
        <v>20115.2</v>
      </c>
      <c r="G158" s="39">
        <f>G159</f>
        <v>20158.8</v>
      </c>
      <c r="H158" s="39">
        <f>H159</f>
        <v>20219.5</v>
      </c>
    </row>
    <row r="159" spans="1:8" ht="38.25">
      <c r="A159" s="16" t="s">
        <v>95</v>
      </c>
      <c r="B159" s="16" t="s">
        <v>102</v>
      </c>
      <c r="C159" s="74">
        <v>920110300</v>
      </c>
      <c r="D159" s="82" t="s">
        <v>212</v>
      </c>
      <c r="E159" s="98" t="s">
        <v>213</v>
      </c>
      <c r="F159" s="39">
        <v>20115.2</v>
      </c>
      <c r="G159" s="39">
        <v>20158.8</v>
      </c>
      <c r="H159" s="39">
        <v>20219.5</v>
      </c>
    </row>
    <row r="160" spans="1:8" ht="63.75">
      <c r="A160" s="16" t="s">
        <v>95</v>
      </c>
      <c r="B160" s="16" t="s">
        <v>102</v>
      </c>
      <c r="C160" s="74">
        <v>920123490</v>
      </c>
      <c r="D160" s="82"/>
      <c r="E160" s="54" t="s">
        <v>533</v>
      </c>
      <c r="F160" s="39">
        <f>F161</f>
        <v>0</v>
      </c>
      <c r="G160" s="39">
        <f>G161</f>
        <v>0</v>
      </c>
      <c r="H160" s="39">
        <f>H161</f>
        <v>55</v>
      </c>
    </row>
    <row r="161" spans="1:8" ht="38.25">
      <c r="A161" s="16" t="s">
        <v>95</v>
      </c>
      <c r="B161" s="16" t="s">
        <v>102</v>
      </c>
      <c r="C161" s="74">
        <v>920123490</v>
      </c>
      <c r="D161" s="82" t="s">
        <v>212</v>
      </c>
      <c r="E161" s="98" t="s">
        <v>213</v>
      </c>
      <c r="F161" s="39">
        <v>0</v>
      </c>
      <c r="G161" s="39">
        <v>0</v>
      </c>
      <c r="H161" s="39">
        <v>55</v>
      </c>
    </row>
    <row r="162" spans="1:8" ht="89.25">
      <c r="A162" s="16" t="s">
        <v>95</v>
      </c>
      <c r="B162" s="16" t="s">
        <v>102</v>
      </c>
      <c r="C162" s="74">
        <v>920123495</v>
      </c>
      <c r="D162" s="82"/>
      <c r="E162" s="54" t="s">
        <v>600</v>
      </c>
      <c r="F162" s="39">
        <f>F163</f>
        <v>2182.4</v>
      </c>
      <c r="G162" s="39">
        <f>G163</f>
        <v>154.9</v>
      </c>
      <c r="H162" s="39">
        <f>H163</f>
        <v>0</v>
      </c>
    </row>
    <row r="163" spans="1:8" ht="38.25">
      <c r="A163" s="16" t="s">
        <v>95</v>
      </c>
      <c r="B163" s="16" t="s">
        <v>102</v>
      </c>
      <c r="C163" s="74">
        <v>920123495</v>
      </c>
      <c r="D163" s="82" t="s">
        <v>212</v>
      </c>
      <c r="E163" s="98" t="s">
        <v>213</v>
      </c>
      <c r="F163" s="39">
        <f>2116.9+65.5</f>
        <v>2182.4</v>
      </c>
      <c r="G163" s="39">
        <v>154.9</v>
      </c>
      <c r="H163" s="39">
        <v>0</v>
      </c>
    </row>
    <row r="164" spans="1:8" ht="28.5">
      <c r="A164" s="30" t="s">
        <v>95</v>
      </c>
      <c r="B164" s="30" t="s">
        <v>100</v>
      </c>
      <c r="C164" s="30"/>
      <c r="D164" s="30"/>
      <c r="E164" s="50" t="s">
        <v>199</v>
      </c>
      <c r="F164" s="40">
        <f>F165+F187+F191</f>
        <v>160642.60000000003</v>
      </c>
      <c r="G164" s="40">
        <f>G165+G187+G191</f>
        <v>128397.90000000001</v>
      </c>
      <c r="H164" s="40">
        <f>H165+H187+H191</f>
        <v>150504.4</v>
      </c>
    </row>
    <row r="165" spans="1:8" ht="102">
      <c r="A165" s="5" t="s">
        <v>95</v>
      </c>
      <c r="B165" s="5" t="s">
        <v>100</v>
      </c>
      <c r="C165" s="73" t="s">
        <v>68</v>
      </c>
      <c r="D165" s="30"/>
      <c r="E165" s="142" t="s">
        <v>620</v>
      </c>
      <c r="F165" s="96">
        <f>F166</f>
        <v>152644.00000000003</v>
      </c>
      <c r="G165" s="96">
        <f>G166</f>
        <v>123760.1</v>
      </c>
      <c r="H165" s="96">
        <f>H166</f>
        <v>141899.9</v>
      </c>
    </row>
    <row r="166" spans="1:8" ht="63.75">
      <c r="A166" s="16" t="s">
        <v>95</v>
      </c>
      <c r="B166" s="16" t="s">
        <v>100</v>
      </c>
      <c r="C166" s="52" t="s">
        <v>69</v>
      </c>
      <c r="D166" s="30"/>
      <c r="E166" s="46" t="s">
        <v>166</v>
      </c>
      <c r="F166" s="93">
        <f>F167+F169+F171+F173+F175+F177+F179+F181+F183+F185</f>
        <v>152644.00000000003</v>
      </c>
      <c r="G166" s="93">
        <f>G167+G169+G171+G173+G175+G177+G179+G181+G183+G185</f>
        <v>123760.1</v>
      </c>
      <c r="H166" s="93">
        <f>H167+H169+H171+H173+H175+H177+H179+H181+H183+H185</f>
        <v>141899.9</v>
      </c>
    </row>
    <row r="167" spans="1:8" ht="89.25">
      <c r="A167" s="16" t="s">
        <v>95</v>
      </c>
      <c r="B167" s="16" t="s">
        <v>100</v>
      </c>
      <c r="C167" s="74">
        <v>910123405</v>
      </c>
      <c r="D167" s="30"/>
      <c r="E167" s="97" t="s">
        <v>297</v>
      </c>
      <c r="F167" s="39">
        <f>F168</f>
        <v>15376.7</v>
      </c>
      <c r="G167" s="39">
        <f>G168</f>
        <v>8086.9</v>
      </c>
      <c r="H167" s="39">
        <f>H168</f>
        <v>15386.8</v>
      </c>
    </row>
    <row r="168" spans="1:8" ht="38.25">
      <c r="A168" s="16" t="s">
        <v>95</v>
      </c>
      <c r="B168" s="16" t="s">
        <v>100</v>
      </c>
      <c r="C168" s="74">
        <v>910123405</v>
      </c>
      <c r="D168" s="82" t="s">
        <v>212</v>
      </c>
      <c r="E168" s="98" t="s">
        <v>213</v>
      </c>
      <c r="F168" s="39">
        <v>15376.7</v>
      </c>
      <c r="G168" s="39">
        <v>8086.9</v>
      </c>
      <c r="H168" s="39">
        <v>15386.8</v>
      </c>
    </row>
    <row r="169" spans="1:8" ht="64.5" customHeight="1">
      <c r="A169" s="16" t="s">
        <v>95</v>
      </c>
      <c r="B169" s="16" t="s">
        <v>100</v>
      </c>
      <c r="C169" s="74">
        <v>910110520</v>
      </c>
      <c r="D169" s="30"/>
      <c r="E169" s="97" t="s">
        <v>185</v>
      </c>
      <c r="F169" s="39">
        <f>F170</f>
        <v>20020.599999999999</v>
      </c>
      <c r="G169" s="39">
        <f>G170</f>
        <v>20821.400000000001</v>
      </c>
      <c r="H169" s="39">
        <f>H170</f>
        <v>21654.3</v>
      </c>
    </row>
    <row r="170" spans="1:8" ht="38.25">
      <c r="A170" s="16" t="s">
        <v>95</v>
      </c>
      <c r="B170" s="16" t="s">
        <v>100</v>
      </c>
      <c r="C170" s="74">
        <v>910110520</v>
      </c>
      <c r="D170" s="82" t="s">
        <v>212</v>
      </c>
      <c r="E170" s="98" t="s">
        <v>213</v>
      </c>
      <c r="F170" s="1">
        <v>20020.599999999999</v>
      </c>
      <c r="G170" s="39">
        <v>20821.400000000001</v>
      </c>
      <c r="H170" s="1">
        <v>21654.3</v>
      </c>
    </row>
    <row r="171" spans="1:8" ht="25.5">
      <c r="A171" s="16" t="s">
        <v>95</v>
      </c>
      <c r="B171" s="16" t="s">
        <v>100</v>
      </c>
      <c r="C171" s="74">
        <v>910123410</v>
      </c>
      <c r="D171" s="16"/>
      <c r="E171" s="98" t="s">
        <v>186</v>
      </c>
      <c r="F171" s="39">
        <f>F172</f>
        <v>19002.400000000001</v>
      </c>
      <c r="G171" s="39">
        <f>G172</f>
        <v>8022.4000000000005</v>
      </c>
      <c r="H171" s="39">
        <f>H172</f>
        <v>16457</v>
      </c>
    </row>
    <row r="172" spans="1:8" ht="38.25">
      <c r="A172" s="16" t="s">
        <v>95</v>
      </c>
      <c r="B172" s="16" t="s">
        <v>100</v>
      </c>
      <c r="C172" s="74">
        <v>910123410</v>
      </c>
      <c r="D172" s="82" t="s">
        <v>212</v>
      </c>
      <c r="E172" s="98" t="s">
        <v>213</v>
      </c>
      <c r="F172" s="39">
        <f>16457+1413.5+1131.9</f>
        <v>19002.400000000001</v>
      </c>
      <c r="G172" s="39">
        <f>8177.3-154.9</f>
        <v>8022.4000000000005</v>
      </c>
      <c r="H172" s="39">
        <v>16457</v>
      </c>
    </row>
    <row r="173" spans="1:8" ht="102">
      <c r="A173" s="16" t="s">
        <v>95</v>
      </c>
      <c r="B173" s="16" t="s">
        <v>100</v>
      </c>
      <c r="C173" s="74">
        <v>910123415</v>
      </c>
      <c r="D173" s="82"/>
      <c r="E173" s="131" t="s">
        <v>724</v>
      </c>
      <c r="F173" s="39">
        <f>F174</f>
        <v>2263.4</v>
      </c>
      <c r="G173" s="39">
        <f t="shared" ref="G173:H173" si="12">G174</f>
        <v>0</v>
      </c>
      <c r="H173" s="39">
        <f t="shared" si="12"/>
        <v>0</v>
      </c>
    </row>
    <row r="174" spans="1:8" ht="38.25">
      <c r="A174" s="16" t="s">
        <v>95</v>
      </c>
      <c r="B174" s="16" t="s">
        <v>100</v>
      </c>
      <c r="C174" s="74">
        <v>910123415</v>
      </c>
      <c r="D174" s="82" t="s">
        <v>212</v>
      </c>
      <c r="E174" s="98" t="s">
        <v>213</v>
      </c>
      <c r="F174" s="39">
        <f>100+380+5000-3566.6+350</f>
        <v>2263.4</v>
      </c>
      <c r="G174" s="39">
        <v>0</v>
      </c>
      <c r="H174" s="39">
        <v>0</v>
      </c>
    </row>
    <row r="175" spans="1:8" ht="51">
      <c r="A175" s="16" t="s">
        <v>95</v>
      </c>
      <c r="B175" s="16" t="s">
        <v>100</v>
      </c>
      <c r="C175" s="74" t="s">
        <v>353</v>
      </c>
      <c r="D175" s="82"/>
      <c r="E175" s="123" t="s">
        <v>352</v>
      </c>
      <c r="F175" s="39">
        <f>F176</f>
        <v>1144.1000000000004</v>
      </c>
      <c r="G175" s="39">
        <f>G176</f>
        <v>2410.3000000000002</v>
      </c>
      <c r="H175" s="39">
        <f>H176</f>
        <v>2506.8000000000002</v>
      </c>
    </row>
    <row r="176" spans="1:8" ht="38.25">
      <c r="A176" s="16" t="s">
        <v>95</v>
      </c>
      <c r="B176" s="16" t="s">
        <v>100</v>
      </c>
      <c r="C176" s="74" t="s">
        <v>353</v>
      </c>
      <c r="D176" s="82" t="s">
        <v>212</v>
      </c>
      <c r="E176" s="98" t="s">
        <v>213</v>
      </c>
      <c r="F176" s="39">
        <f>2317.6-1000+3130.1-10.9-3292.7</f>
        <v>1144.1000000000004</v>
      </c>
      <c r="G176" s="39">
        <v>2410.3000000000002</v>
      </c>
      <c r="H176" s="39">
        <v>2506.8000000000002</v>
      </c>
    </row>
    <row r="177" spans="1:8" ht="63.75">
      <c r="A177" s="16" t="s">
        <v>95</v>
      </c>
      <c r="B177" s="16" t="s">
        <v>100</v>
      </c>
      <c r="C177" s="138" t="s">
        <v>530</v>
      </c>
      <c r="D177" s="82"/>
      <c r="E177" s="123" t="s">
        <v>354</v>
      </c>
      <c r="F177" s="39">
        <f>F178</f>
        <v>7695.6</v>
      </c>
      <c r="G177" s="39">
        <f>G178</f>
        <v>9641.2999999999993</v>
      </c>
      <c r="H177" s="39">
        <f>H178</f>
        <v>10027</v>
      </c>
    </row>
    <row r="178" spans="1:8" ht="38.25">
      <c r="A178" s="16" t="s">
        <v>95</v>
      </c>
      <c r="B178" s="16" t="s">
        <v>100</v>
      </c>
      <c r="C178" s="138" t="s">
        <v>530</v>
      </c>
      <c r="D178" s="82" t="s">
        <v>212</v>
      </c>
      <c r="E178" s="98" t="s">
        <v>213</v>
      </c>
      <c r="F178" s="1">
        <f>9270.5-1574.9</f>
        <v>7695.6</v>
      </c>
      <c r="G178" s="39">
        <v>9641.2999999999993</v>
      </c>
      <c r="H178" s="149">
        <v>10027</v>
      </c>
    </row>
    <row r="179" spans="1:8" ht="25.5">
      <c r="A179" s="16" t="s">
        <v>95</v>
      </c>
      <c r="B179" s="16" t="s">
        <v>100</v>
      </c>
      <c r="C179" s="74" t="s">
        <v>349</v>
      </c>
      <c r="D179" s="82"/>
      <c r="E179" s="98" t="s">
        <v>350</v>
      </c>
      <c r="F179" s="39">
        <f>F180</f>
        <v>10850.8</v>
      </c>
      <c r="G179" s="39">
        <f>G180</f>
        <v>14955.6</v>
      </c>
      <c r="H179" s="39">
        <f>H180</f>
        <v>15173.6</v>
      </c>
    </row>
    <row r="180" spans="1:8" ht="38.25">
      <c r="A180" s="16" t="s">
        <v>95</v>
      </c>
      <c r="B180" s="16" t="s">
        <v>100</v>
      </c>
      <c r="C180" s="74" t="s">
        <v>349</v>
      </c>
      <c r="D180" s="82" t="s">
        <v>212</v>
      </c>
      <c r="E180" s="98" t="s">
        <v>213</v>
      </c>
      <c r="F180" s="39">
        <f>14380.3+396.5-800-5193.4-1842.6+3931.5-21.5</f>
        <v>10850.8</v>
      </c>
      <c r="G180" s="39">
        <v>14955.6</v>
      </c>
      <c r="H180" s="39">
        <v>15173.6</v>
      </c>
    </row>
    <row r="181" spans="1:8" ht="25.5">
      <c r="A181" s="16" t="s">
        <v>95</v>
      </c>
      <c r="B181" s="16" t="s">
        <v>100</v>
      </c>
      <c r="C181" s="140" t="s">
        <v>531</v>
      </c>
      <c r="D181" s="82"/>
      <c r="E181" s="98" t="s">
        <v>351</v>
      </c>
      <c r="F181" s="39">
        <f>F182</f>
        <v>57521.3</v>
      </c>
      <c r="G181" s="39">
        <f>G182</f>
        <v>59822.2</v>
      </c>
      <c r="H181" s="39">
        <f>H182</f>
        <v>60694.400000000001</v>
      </c>
    </row>
    <row r="182" spans="1:8" ht="38.25">
      <c r="A182" s="16" t="s">
        <v>95</v>
      </c>
      <c r="B182" s="16" t="s">
        <v>100</v>
      </c>
      <c r="C182" s="140" t="s">
        <v>531</v>
      </c>
      <c r="D182" s="82" t="s">
        <v>212</v>
      </c>
      <c r="E182" s="98" t="s">
        <v>213</v>
      </c>
      <c r="F182" s="39">
        <v>57521.3</v>
      </c>
      <c r="G182" s="1">
        <v>59822.2</v>
      </c>
      <c r="H182" s="1">
        <v>60694.400000000001</v>
      </c>
    </row>
    <row r="183" spans="1:8" ht="25.5">
      <c r="A183" s="16" t="s">
        <v>95</v>
      </c>
      <c r="B183" s="16" t="s">
        <v>100</v>
      </c>
      <c r="C183" s="74">
        <v>910123425</v>
      </c>
      <c r="D183" s="82"/>
      <c r="E183" s="98" t="s">
        <v>384</v>
      </c>
      <c r="F183" s="39">
        <f>F184</f>
        <v>17615.100000000002</v>
      </c>
      <c r="G183" s="39">
        <f>G184</f>
        <v>0</v>
      </c>
      <c r="H183" s="39">
        <f>H184</f>
        <v>0</v>
      </c>
    </row>
    <row r="184" spans="1:8" ht="38.25">
      <c r="A184" s="16" t="s">
        <v>95</v>
      </c>
      <c r="B184" s="16" t="s">
        <v>100</v>
      </c>
      <c r="C184" s="74">
        <v>910123425</v>
      </c>
      <c r="D184" s="82" t="s">
        <v>212</v>
      </c>
      <c r="E184" s="98" t="s">
        <v>213</v>
      </c>
      <c r="F184" s="39">
        <f>1590+1493.2+1306.4+2176+2289.3+8760.2</f>
        <v>17615.100000000002</v>
      </c>
      <c r="G184" s="39">
        <v>0</v>
      </c>
      <c r="H184" s="39">
        <v>0</v>
      </c>
    </row>
    <row r="185" spans="1:8">
      <c r="A185" s="16" t="s">
        <v>95</v>
      </c>
      <c r="B185" s="16" t="s">
        <v>100</v>
      </c>
      <c r="C185" s="74">
        <v>910123430</v>
      </c>
      <c r="D185" s="82"/>
      <c r="E185" s="98" t="s">
        <v>656</v>
      </c>
      <c r="F185" s="39">
        <f>F186</f>
        <v>1154</v>
      </c>
      <c r="G185" s="39">
        <f>G186</f>
        <v>0</v>
      </c>
      <c r="H185" s="39">
        <f>H186</f>
        <v>0</v>
      </c>
    </row>
    <row r="186" spans="1:8" ht="38.25">
      <c r="A186" s="16" t="s">
        <v>95</v>
      </c>
      <c r="B186" s="16" t="s">
        <v>100</v>
      </c>
      <c r="C186" s="74">
        <v>910123430</v>
      </c>
      <c r="D186" s="82" t="s">
        <v>212</v>
      </c>
      <c r="E186" s="98" t="s">
        <v>213</v>
      </c>
      <c r="F186" s="39">
        <f>817+337</f>
        <v>1154</v>
      </c>
      <c r="G186" s="39">
        <v>0</v>
      </c>
      <c r="H186" s="39">
        <v>0</v>
      </c>
    </row>
    <row r="187" spans="1:8" ht="127.5">
      <c r="A187" s="5" t="s">
        <v>95</v>
      </c>
      <c r="B187" s="5" t="s">
        <v>100</v>
      </c>
      <c r="C187" s="73" t="s">
        <v>575</v>
      </c>
      <c r="D187" s="82"/>
      <c r="E187" s="142" t="s">
        <v>626</v>
      </c>
      <c r="F187" s="96">
        <f t="shared" ref="F187:H189" si="13">F188</f>
        <v>0</v>
      </c>
      <c r="G187" s="96">
        <f t="shared" si="13"/>
        <v>0</v>
      </c>
      <c r="H187" s="96">
        <f t="shared" si="13"/>
        <v>1000</v>
      </c>
    </row>
    <row r="188" spans="1:8" ht="63.75">
      <c r="A188" s="47" t="s">
        <v>95</v>
      </c>
      <c r="B188" s="47" t="s">
        <v>100</v>
      </c>
      <c r="C188" s="141">
        <v>1510000000</v>
      </c>
      <c r="D188" s="82"/>
      <c r="E188" s="48" t="s">
        <v>368</v>
      </c>
      <c r="F188" s="41">
        <f t="shared" si="13"/>
        <v>0</v>
      </c>
      <c r="G188" s="41">
        <f t="shared" si="13"/>
        <v>0</v>
      </c>
      <c r="H188" s="41">
        <f t="shared" si="13"/>
        <v>1000</v>
      </c>
    </row>
    <row r="189" spans="1:8" ht="63.75">
      <c r="A189" s="16" t="s">
        <v>95</v>
      </c>
      <c r="B189" s="16" t="s">
        <v>100</v>
      </c>
      <c r="C189" s="130" t="s">
        <v>577</v>
      </c>
      <c r="D189" s="82"/>
      <c r="E189" s="98" t="s">
        <v>576</v>
      </c>
      <c r="F189" s="41">
        <f t="shared" si="13"/>
        <v>0</v>
      </c>
      <c r="G189" s="41">
        <f t="shared" si="13"/>
        <v>0</v>
      </c>
      <c r="H189" s="41">
        <f t="shared" si="13"/>
        <v>1000</v>
      </c>
    </row>
    <row r="190" spans="1:8" ht="38.25">
      <c r="A190" s="16" t="s">
        <v>95</v>
      </c>
      <c r="B190" s="16" t="s">
        <v>100</v>
      </c>
      <c r="C190" s="130" t="s">
        <v>577</v>
      </c>
      <c r="D190" s="82" t="s">
        <v>212</v>
      </c>
      <c r="E190" s="98" t="s">
        <v>213</v>
      </c>
      <c r="F190" s="41">
        <f>6842-6842</f>
        <v>0</v>
      </c>
      <c r="G190" s="41">
        <v>0</v>
      </c>
      <c r="H190" s="41">
        <v>1000</v>
      </c>
    </row>
    <row r="191" spans="1:8" ht="88.5" customHeight="1">
      <c r="A191" s="73" t="s">
        <v>95</v>
      </c>
      <c r="B191" s="73" t="s">
        <v>100</v>
      </c>
      <c r="C191" s="73" t="s">
        <v>228</v>
      </c>
      <c r="D191" s="16"/>
      <c r="E191" s="64" t="s">
        <v>627</v>
      </c>
      <c r="F191" s="96">
        <f>F192</f>
        <v>7998.6</v>
      </c>
      <c r="G191" s="96">
        <f>G192</f>
        <v>4637.8</v>
      </c>
      <c r="H191" s="96">
        <f>H192</f>
        <v>7604.5</v>
      </c>
    </row>
    <row r="192" spans="1:8" ht="51">
      <c r="A192" s="21" t="s">
        <v>95</v>
      </c>
      <c r="B192" s="21" t="s">
        <v>100</v>
      </c>
      <c r="C192" s="52" t="s">
        <v>229</v>
      </c>
      <c r="D192" s="16"/>
      <c r="E192" s="48" t="s">
        <v>230</v>
      </c>
      <c r="F192" s="58">
        <f>F193+F195+F197+F199+F201+F203+F205+F207</f>
        <v>7998.6</v>
      </c>
      <c r="G192" s="58">
        <f>G193+G195+G197+G199+G201+G203+G205+G207</f>
        <v>4637.8</v>
      </c>
      <c r="H192" s="58">
        <f>H193+H195+H197+H199+H201+H203+H205+H207</f>
        <v>7604.5</v>
      </c>
    </row>
    <row r="193" spans="1:8" ht="38.25">
      <c r="A193" s="21" t="s">
        <v>95</v>
      </c>
      <c r="B193" s="21" t="s">
        <v>100</v>
      </c>
      <c r="C193" s="21" t="s">
        <v>563</v>
      </c>
      <c r="D193" s="82"/>
      <c r="E193" s="98" t="s">
        <v>346</v>
      </c>
      <c r="F193" s="41">
        <f>F194</f>
        <v>2442.6999999999998</v>
      </c>
      <c r="G193" s="41">
        <f>G194</f>
        <v>0</v>
      </c>
      <c r="H193" s="41">
        <f>H194</f>
        <v>2381.1999999999998</v>
      </c>
    </row>
    <row r="194" spans="1:8" ht="38.25">
      <c r="A194" s="21" t="s">
        <v>95</v>
      </c>
      <c r="B194" s="21" t="s">
        <v>100</v>
      </c>
      <c r="C194" s="21" t="s">
        <v>563</v>
      </c>
      <c r="D194" s="82" t="s">
        <v>212</v>
      </c>
      <c r="E194" s="98" t="s">
        <v>213</v>
      </c>
      <c r="F194" s="41">
        <f>2972.1-529.4</f>
        <v>2442.6999999999998</v>
      </c>
      <c r="G194" s="41">
        <v>0</v>
      </c>
      <c r="H194" s="41">
        <v>2381.1999999999998</v>
      </c>
    </row>
    <row r="195" spans="1:8" ht="25.5">
      <c r="A195" s="21" t="s">
        <v>95</v>
      </c>
      <c r="B195" s="21" t="s">
        <v>100</v>
      </c>
      <c r="C195" s="21" t="s">
        <v>565</v>
      </c>
      <c r="D195" s="82"/>
      <c r="E195" s="98" t="s">
        <v>564</v>
      </c>
      <c r="F195" s="41">
        <f>F196</f>
        <v>529.4</v>
      </c>
      <c r="G195" s="41">
        <f>G196</f>
        <v>0</v>
      </c>
      <c r="H195" s="41">
        <f>H196</f>
        <v>0</v>
      </c>
    </row>
    <row r="196" spans="1:8" ht="38.25">
      <c r="A196" s="21" t="s">
        <v>95</v>
      </c>
      <c r="B196" s="21" t="s">
        <v>100</v>
      </c>
      <c r="C196" s="21" t="s">
        <v>565</v>
      </c>
      <c r="D196" s="82" t="s">
        <v>212</v>
      </c>
      <c r="E196" s="98" t="s">
        <v>213</v>
      </c>
      <c r="F196" s="41">
        <v>529.4</v>
      </c>
      <c r="G196" s="41">
        <v>0</v>
      </c>
      <c r="H196" s="41">
        <v>0</v>
      </c>
    </row>
    <row r="197" spans="1:8" ht="25.5">
      <c r="A197" s="21" t="s">
        <v>95</v>
      </c>
      <c r="B197" s="21" t="s">
        <v>100</v>
      </c>
      <c r="C197" s="21" t="s">
        <v>566</v>
      </c>
      <c r="D197" s="16"/>
      <c r="E197" s="98" t="s">
        <v>335</v>
      </c>
      <c r="F197" s="41">
        <f>F198</f>
        <v>385</v>
      </c>
      <c r="G197" s="41">
        <f>G198</f>
        <v>0</v>
      </c>
      <c r="H197" s="41">
        <f>H198</f>
        <v>400</v>
      </c>
    </row>
    <row r="198" spans="1:8" ht="38.25">
      <c r="A198" s="21" t="s">
        <v>95</v>
      </c>
      <c r="B198" s="21" t="s">
        <v>100</v>
      </c>
      <c r="C198" s="21" t="s">
        <v>566</v>
      </c>
      <c r="D198" s="82" t="s">
        <v>212</v>
      </c>
      <c r="E198" s="98" t="s">
        <v>213</v>
      </c>
      <c r="F198" s="41">
        <f>370+31-16</f>
        <v>385</v>
      </c>
      <c r="G198" s="41">
        <v>0</v>
      </c>
      <c r="H198" s="41">
        <v>400</v>
      </c>
    </row>
    <row r="199" spans="1:8" ht="38.25">
      <c r="A199" s="21" t="s">
        <v>95</v>
      </c>
      <c r="B199" s="21" t="s">
        <v>100</v>
      </c>
      <c r="C199" s="21" t="s">
        <v>641</v>
      </c>
      <c r="D199" s="82"/>
      <c r="E199" s="98" t="s">
        <v>640</v>
      </c>
      <c r="F199" s="41">
        <f>F200</f>
        <v>178</v>
      </c>
      <c r="G199" s="41">
        <f>G200</f>
        <v>0</v>
      </c>
      <c r="H199" s="41">
        <f>H200</f>
        <v>0</v>
      </c>
    </row>
    <row r="200" spans="1:8" ht="38.25">
      <c r="A200" s="21" t="s">
        <v>95</v>
      </c>
      <c r="B200" s="21" t="s">
        <v>100</v>
      </c>
      <c r="C200" s="21" t="s">
        <v>641</v>
      </c>
      <c r="D200" s="82" t="s">
        <v>212</v>
      </c>
      <c r="E200" s="98" t="s">
        <v>213</v>
      </c>
      <c r="F200" s="41">
        <v>178</v>
      </c>
      <c r="G200" s="41">
        <v>0</v>
      </c>
      <c r="H200" s="41">
        <v>0</v>
      </c>
    </row>
    <row r="201" spans="1:8" ht="25.5">
      <c r="A201" s="21" t="s">
        <v>95</v>
      </c>
      <c r="B201" s="21" t="s">
        <v>100</v>
      </c>
      <c r="C201" s="21" t="s">
        <v>643</v>
      </c>
      <c r="D201" s="82"/>
      <c r="E201" s="98" t="s">
        <v>644</v>
      </c>
      <c r="F201" s="41">
        <f>F202</f>
        <v>892.4</v>
      </c>
      <c r="G201" s="41">
        <f t="shared" ref="G201:H201" si="14">G202</f>
        <v>0</v>
      </c>
      <c r="H201" s="41">
        <f t="shared" si="14"/>
        <v>0</v>
      </c>
    </row>
    <row r="202" spans="1:8" ht="38.25">
      <c r="A202" s="21" t="s">
        <v>95</v>
      </c>
      <c r="B202" s="21" t="s">
        <v>100</v>
      </c>
      <c r="C202" s="21" t="s">
        <v>643</v>
      </c>
      <c r="D202" s="82" t="s">
        <v>212</v>
      </c>
      <c r="E202" s="98" t="s">
        <v>213</v>
      </c>
      <c r="F202" s="41">
        <f>990-45.4-52.2</f>
        <v>892.4</v>
      </c>
      <c r="G202" s="41">
        <v>0</v>
      </c>
      <c r="H202" s="41">
        <v>0</v>
      </c>
    </row>
    <row r="203" spans="1:8">
      <c r="A203" s="21" t="s">
        <v>95</v>
      </c>
      <c r="B203" s="21" t="s">
        <v>100</v>
      </c>
      <c r="C203" s="21" t="s">
        <v>697</v>
      </c>
      <c r="D203" s="82"/>
      <c r="E203" s="98" t="s">
        <v>642</v>
      </c>
      <c r="F203" s="41">
        <f>F204</f>
        <v>499</v>
      </c>
      <c r="G203" s="41">
        <f t="shared" ref="G203:H203" si="15">G204</f>
        <v>0</v>
      </c>
      <c r="H203" s="41">
        <f t="shared" si="15"/>
        <v>0</v>
      </c>
    </row>
    <row r="204" spans="1:8" ht="38.25">
      <c r="A204" s="21" t="s">
        <v>95</v>
      </c>
      <c r="B204" s="21" t="s">
        <v>100</v>
      </c>
      <c r="C204" s="21" t="s">
        <v>697</v>
      </c>
      <c r="D204" s="82" t="s">
        <v>212</v>
      </c>
      <c r="E204" s="98" t="s">
        <v>213</v>
      </c>
      <c r="F204" s="41">
        <f>600-98.6-2.4</f>
        <v>499</v>
      </c>
      <c r="G204" s="41">
        <v>0</v>
      </c>
      <c r="H204" s="41">
        <v>0</v>
      </c>
    </row>
    <row r="205" spans="1:8" ht="40.5" customHeight="1">
      <c r="A205" s="21" t="s">
        <v>95</v>
      </c>
      <c r="B205" s="21" t="s">
        <v>100</v>
      </c>
      <c r="C205" s="51" t="s">
        <v>360</v>
      </c>
      <c r="D205" s="82"/>
      <c r="E205" s="98" t="s">
        <v>357</v>
      </c>
      <c r="F205" s="41">
        <f>F206</f>
        <v>307.2</v>
      </c>
      <c r="G205" s="41">
        <f>G206</f>
        <v>927.6</v>
      </c>
      <c r="H205" s="41">
        <f>H206</f>
        <v>964.7</v>
      </c>
    </row>
    <row r="206" spans="1:8" ht="38.25">
      <c r="A206" s="21" t="s">
        <v>95</v>
      </c>
      <c r="B206" s="21" t="s">
        <v>100</v>
      </c>
      <c r="C206" s="51" t="s">
        <v>360</v>
      </c>
      <c r="D206" s="82" t="s">
        <v>212</v>
      </c>
      <c r="E206" s="98" t="s">
        <v>213</v>
      </c>
      <c r="F206" s="39">
        <f>891.9-495.5-89.2</f>
        <v>307.2</v>
      </c>
      <c r="G206" s="39">
        <v>927.6</v>
      </c>
      <c r="H206" s="39">
        <v>964.7</v>
      </c>
    </row>
    <row r="207" spans="1:8" ht="51.75" customHeight="1">
      <c r="A207" s="21" t="s">
        <v>95</v>
      </c>
      <c r="B207" s="21" t="s">
        <v>100</v>
      </c>
      <c r="C207" s="51" t="s">
        <v>361</v>
      </c>
      <c r="D207" s="82"/>
      <c r="E207" s="98" t="s">
        <v>355</v>
      </c>
      <c r="F207" s="41">
        <f>F208</f>
        <v>2764.9</v>
      </c>
      <c r="G207" s="41">
        <f>G208</f>
        <v>3710.2</v>
      </c>
      <c r="H207" s="41">
        <f>H208</f>
        <v>3858.6</v>
      </c>
    </row>
    <row r="208" spans="1:8" ht="38.25">
      <c r="A208" s="21" t="s">
        <v>95</v>
      </c>
      <c r="B208" s="21" t="s">
        <v>100</v>
      </c>
      <c r="C208" s="51" t="s">
        <v>361</v>
      </c>
      <c r="D208" s="82" t="s">
        <v>212</v>
      </c>
      <c r="E208" s="98" t="s">
        <v>213</v>
      </c>
      <c r="F208" s="41">
        <f>3567.5-802.6</f>
        <v>2764.9</v>
      </c>
      <c r="G208" s="41">
        <v>3710.2</v>
      </c>
      <c r="H208" s="41">
        <v>3858.6</v>
      </c>
    </row>
    <row r="209" spans="1:8" ht="25.5">
      <c r="A209" s="21" t="s">
        <v>95</v>
      </c>
      <c r="B209" s="21" t="s">
        <v>123</v>
      </c>
      <c r="C209" s="30"/>
      <c r="D209" s="30"/>
      <c r="E209" s="46" t="s">
        <v>4</v>
      </c>
      <c r="F209" s="40">
        <f>F210+F219+F237</f>
        <v>3165.7</v>
      </c>
      <c r="G209" s="40">
        <f>G210+G219+G237</f>
        <v>1953.5</v>
      </c>
      <c r="H209" s="40">
        <f>H210+H219+H237</f>
        <v>1946.2</v>
      </c>
    </row>
    <row r="210" spans="1:8" ht="89.25">
      <c r="A210" s="5" t="s">
        <v>95</v>
      </c>
      <c r="B210" s="5" t="s">
        <v>123</v>
      </c>
      <c r="C210" s="73" t="s">
        <v>70</v>
      </c>
      <c r="D210" s="16"/>
      <c r="E210" s="143" t="s">
        <v>615</v>
      </c>
      <c r="F210" s="96">
        <f>F211</f>
        <v>421.70000000000005</v>
      </c>
      <c r="G210" s="96">
        <f>G211</f>
        <v>183.5</v>
      </c>
      <c r="H210" s="96">
        <f>H211</f>
        <v>176.2</v>
      </c>
    </row>
    <row r="211" spans="1:8" ht="38.25">
      <c r="A211" s="16" t="s">
        <v>95</v>
      </c>
      <c r="B211" s="16" t="s">
        <v>123</v>
      </c>
      <c r="C211" s="52" t="s">
        <v>164</v>
      </c>
      <c r="D211" s="16"/>
      <c r="E211" s="48" t="s">
        <v>163</v>
      </c>
      <c r="F211" s="41">
        <f>F212+F215+F217</f>
        <v>421.70000000000005</v>
      </c>
      <c r="G211" s="41">
        <f>G212+G215+G217</f>
        <v>183.5</v>
      </c>
      <c r="H211" s="41">
        <f>H212+H215+H217</f>
        <v>176.2</v>
      </c>
    </row>
    <row r="212" spans="1:8" ht="51">
      <c r="A212" s="16" t="s">
        <v>95</v>
      </c>
      <c r="B212" s="16" t="s">
        <v>123</v>
      </c>
      <c r="C212" s="21" t="s">
        <v>478</v>
      </c>
      <c r="D212" s="30"/>
      <c r="E212" s="97" t="s">
        <v>165</v>
      </c>
      <c r="F212" s="41">
        <f>SUM(F213:F214)</f>
        <v>180.5</v>
      </c>
      <c r="G212" s="41">
        <f t="shared" ref="G212:H212" si="16">SUM(G213:G214)</f>
        <v>147.5</v>
      </c>
      <c r="H212" s="41">
        <f t="shared" si="16"/>
        <v>140.19999999999999</v>
      </c>
    </row>
    <row r="213" spans="1:8" ht="38.25">
      <c r="A213" s="16" t="s">
        <v>95</v>
      </c>
      <c r="B213" s="16" t="s">
        <v>123</v>
      </c>
      <c r="C213" s="21" t="s">
        <v>478</v>
      </c>
      <c r="D213" s="82" t="s">
        <v>212</v>
      </c>
      <c r="E213" s="98" t="s">
        <v>213</v>
      </c>
      <c r="F213" s="39">
        <f>164+1.1</f>
        <v>165.1</v>
      </c>
      <c r="G213" s="39">
        <f>164-16.5</f>
        <v>147.5</v>
      </c>
      <c r="H213" s="39">
        <f>164-23.8</f>
        <v>140.19999999999999</v>
      </c>
    </row>
    <row r="214" spans="1:8">
      <c r="A214" s="16" t="s">
        <v>95</v>
      </c>
      <c r="B214" s="16" t="s">
        <v>123</v>
      </c>
      <c r="C214" s="21" t="s">
        <v>478</v>
      </c>
      <c r="D214" s="82" t="s">
        <v>716</v>
      </c>
      <c r="E214" s="98" t="s">
        <v>717</v>
      </c>
      <c r="F214" s="41">
        <v>15.4</v>
      </c>
      <c r="G214" s="39">
        <v>0</v>
      </c>
      <c r="H214" s="39">
        <v>0</v>
      </c>
    </row>
    <row r="215" spans="1:8" ht="38.25">
      <c r="A215" s="16" t="s">
        <v>95</v>
      </c>
      <c r="B215" s="16" t="s">
        <v>123</v>
      </c>
      <c r="C215" s="82" t="s">
        <v>479</v>
      </c>
      <c r="D215" s="30"/>
      <c r="E215" s="97" t="s">
        <v>168</v>
      </c>
      <c r="F215" s="41">
        <f>F216</f>
        <v>27.9</v>
      </c>
      <c r="G215" s="41">
        <f>G216</f>
        <v>36</v>
      </c>
      <c r="H215" s="41">
        <f>H216</f>
        <v>36</v>
      </c>
    </row>
    <row r="216" spans="1:8" ht="38.25">
      <c r="A216" s="16" t="s">
        <v>95</v>
      </c>
      <c r="B216" s="16" t="s">
        <v>123</v>
      </c>
      <c r="C216" s="82" t="s">
        <v>479</v>
      </c>
      <c r="D216" s="82" t="s">
        <v>212</v>
      </c>
      <c r="E216" s="98" t="s">
        <v>213</v>
      </c>
      <c r="F216" s="41">
        <f>36-8.1</f>
        <v>27.9</v>
      </c>
      <c r="G216" s="41">
        <v>36</v>
      </c>
      <c r="H216" s="41">
        <v>36</v>
      </c>
    </row>
    <row r="217" spans="1:8" ht="63.75">
      <c r="A217" s="16" t="s">
        <v>95</v>
      </c>
      <c r="B217" s="16" t="s">
        <v>123</v>
      </c>
      <c r="C217" s="82" t="s">
        <v>655</v>
      </c>
      <c r="D217" s="82"/>
      <c r="E217" s="98" t="s">
        <v>659</v>
      </c>
      <c r="F217" s="41">
        <f>F218</f>
        <v>213.3</v>
      </c>
      <c r="G217" s="41">
        <f>G218</f>
        <v>0</v>
      </c>
      <c r="H217" s="41">
        <f>H218</f>
        <v>0</v>
      </c>
    </row>
    <row r="218" spans="1:8" ht="38.25">
      <c r="A218" s="16" t="s">
        <v>95</v>
      </c>
      <c r="B218" s="16" t="s">
        <v>123</v>
      </c>
      <c r="C218" s="82" t="s">
        <v>655</v>
      </c>
      <c r="D218" s="82" t="s">
        <v>212</v>
      </c>
      <c r="E218" s="98" t="s">
        <v>213</v>
      </c>
      <c r="F218" s="41">
        <f>250-43.7+7</f>
        <v>213.3</v>
      </c>
      <c r="G218" s="41">
        <v>0</v>
      </c>
      <c r="H218" s="41">
        <v>0</v>
      </c>
    </row>
    <row r="219" spans="1:8" ht="89.25">
      <c r="A219" s="5" t="s">
        <v>95</v>
      </c>
      <c r="B219" s="5" t="s">
        <v>123</v>
      </c>
      <c r="C219" s="76">
        <v>400000000</v>
      </c>
      <c r="D219" s="16"/>
      <c r="E219" s="142" t="s">
        <v>614</v>
      </c>
      <c r="F219" s="96">
        <f>F220</f>
        <v>1387.6</v>
      </c>
      <c r="G219" s="96">
        <f>G220</f>
        <v>1470</v>
      </c>
      <c r="H219" s="96">
        <f>H220</f>
        <v>1470</v>
      </c>
    </row>
    <row r="220" spans="1:8" ht="50.25" customHeight="1">
      <c r="A220" s="47" t="s">
        <v>95</v>
      </c>
      <c r="B220" s="47" t="s">
        <v>123</v>
      </c>
      <c r="C220" s="75">
        <v>410000000</v>
      </c>
      <c r="D220" s="30"/>
      <c r="E220" s="46" t="s">
        <v>480</v>
      </c>
      <c r="F220" s="93">
        <f>F221+F223+F225+F227+F229+F231+F233+F235</f>
        <v>1387.6</v>
      </c>
      <c r="G220" s="93">
        <f>G221+G223+G225+G227+G229+G231+G233+G235</f>
        <v>1470</v>
      </c>
      <c r="H220" s="93">
        <f>H221+H223+H225+H227+H229+H231+H233+H235</f>
        <v>1470</v>
      </c>
    </row>
    <row r="221" spans="1:8" ht="76.5">
      <c r="A221" s="16" t="s">
        <v>95</v>
      </c>
      <c r="B221" s="16" t="s">
        <v>123</v>
      </c>
      <c r="C221" s="136" t="s">
        <v>690</v>
      </c>
      <c r="D221" s="82"/>
      <c r="E221" s="98" t="s">
        <v>634</v>
      </c>
      <c r="F221" s="39">
        <f t="shared" ref="F221:H221" si="17">F222</f>
        <v>75.2</v>
      </c>
      <c r="G221" s="39">
        <f t="shared" si="17"/>
        <v>50</v>
      </c>
      <c r="H221" s="39">
        <f t="shared" si="17"/>
        <v>50</v>
      </c>
    </row>
    <row r="222" spans="1:8" ht="38.25">
      <c r="A222" s="16" t="s">
        <v>95</v>
      </c>
      <c r="B222" s="16" t="s">
        <v>123</v>
      </c>
      <c r="C222" s="136" t="s">
        <v>690</v>
      </c>
      <c r="D222" s="82" t="s">
        <v>212</v>
      </c>
      <c r="E222" s="98" t="s">
        <v>213</v>
      </c>
      <c r="F222" s="39">
        <f>50+5+20.2</f>
        <v>75.2</v>
      </c>
      <c r="G222" s="39">
        <v>50</v>
      </c>
      <c r="H222" s="39">
        <v>50</v>
      </c>
    </row>
    <row r="223" spans="1:8" ht="25.5">
      <c r="A223" s="16" t="s">
        <v>95</v>
      </c>
      <c r="B223" s="16" t="s">
        <v>123</v>
      </c>
      <c r="C223" s="136" t="s">
        <v>689</v>
      </c>
      <c r="D223" s="82"/>
      <c r="E223" s="98" t="s">
        <v>483</v>
      </c>
      <c r="F223" s="39">
        <f>F224</f>
        <v>30</v>
      </c>
      <c r="G223" s="39">
        <f>G224</f>
        <v>20</v>
      </c>
      <c r="H223" s="39">
        <f>H224</f>
        <v>20</v>
      </c>
    </row>
    <row r="224" spans="1:8" ht="38.25">
      <c r="A224" s="16" t="s">
        <v>95</v>
      </c>
      <c r="B224" s="16" t="s">
        <v>123</v>
      </c>
      <c r="C224" s="136" t="s">
        <v>689</v>
      </c>
      <c r="D224" s="82" t="s">
        <v>212</v>
      </c>
      <c r="E224" s="98" t="s">
        <v>213</v>
      </c>
      <c r="F224" s="39">
        <v>30</v>
      </c>
      <c r="G224" s="39">
        <v>20</v>
      </c>
      <c r="H224" s="39">
        <v>20</v>
      </c>
    </row>
    <row r="225" spans="1:8" ht="40.5" customHeight="1">
      <c r="A225" s="16" t="s">
        <v>95</v>
      </c>
      <c r="B225" s="16" t="s">
        <v>123</v>
      </c>
      <c r="C225" s="136" t="s">
        <v>688</v>
      </c>
      <c r="D225" s="82"/>
      <c r="E225" s="98" t="s">
        <v>635</v>
      </c>
      <c r="F225" s="39">
        <f>F226</f>
        <v>82.5</v>
      </c>
      <c r="G225" s="39">
        <f t="shared" ref="G225:H225" si="18">G226</f>
        <v>0</v>
      </c>
      <c r="H225" s="39">
        <f t="shared" si="18"/>
        <v>0</v>
      </c>
    </row>
    <row r="226" spans="1:8" ht="38.25">
      <c r="A226" s="16" t="s">
        <v>95</v>
      </c>
      <c r="B226" s="16" t="s">
        <v>123</v>
      </c>
      <c r="C226" s="136" t="s">
        <v>688</v>
      </c>
      <c r="D226" s="82" t="s">
        <v>212</v>
      </c>
      <c r="E226" s="98" t="s">
        <v>213</v>
      </c>
      <c r="F226" s="39">
        <v>82.5</v>
      </c>
      <c r="G226" s="39">
        <v>0</v>
      </c>
      <c r="H226" s="39">
        <v>0</v>
      </c>
    </row>
    <row r="227" spans="1:8" ht="63.75">
      <c r="A227" s="16" t="s">
        <v>95</v>
      </c>
      <c r="B227" s="16" t="s">
        <v>123</v>
      </c>
      <c r="C227" s="136" t="s">
        <v>691</v>
      </c>
      <c r="D227" s="82"/>
      <c r="E227" s="98" t="s">
        <v>636</v>
      </c>
      <c r="F227" s="39">
        <f>F228</f>
        <v>150</v>
      </c>
      <c r="G227" s="39">
        <f t="shared" ref="G227:H227" si="19">G228</f>
        <v>100</v>
      </c>
      <c r="H227" s="39">
        <f t="shared" si="19"/>
        <v>100</v>
      </c>
    </row>
    <row r="228" spans="1:8" ht="63.75">
      <c r="A228" s="16" t="s">
        <v>95</v>
      </c>
      <c r="B228" s="16" t="s">
        <v>123</v>
      </c>
      <c r="C228" s="136" t="s">
        <v>691</v>
      </c>
      <c r="D228" s="16" t="s">
        <v>12</v>
      </c>
      <c r="E228" s="98" t="s">
        <v>372</v>
      </c>
      <c r="F228" s="39">
        <v>150</v>
      </c>
      <c r="G228" s="39">
        <v>100</v>
      </c>
      <c r="H228" s="39">
        <v>100</v>
      </c>
    </row>
    <row r="229" spans="1:8" ht="63.75">
      <c r="A229" s="16" t="s">
        <v>95</v>
      </c>
      <c r="B229" s="16" t="s">
        <v>123</v>
      </c>
      <c r="C229" s="136" t="s">
        <v>692</v>
      </c>
      <c r="D229" s="82"/>
      <c r="E229" s="98" t="s">
        <v>488</v>
      </c>
      <c r="F229" s="39">
        <f>F230</f>
        <v>0</v>
      </c>
      <c r="G229" s="39">
        <f t="shared" ref="G229:H229" si="20">G230</f>
        <v>500</v>
      </c>
      <c r="H229" s="39">
        <f t="shared" si="20"/>
        <v>500</v>
      </c>
    </row>
    <row r="230" spans="1:8" ht="63.75">
      <c r="A230" s="16" t="s">
        <v>95</v>
      </c>
      <c r="B230" s="16" t="s">
        <v>123</v>
      </c>
      <c r="C230" s="136" t="s">
        <v>692</v>
      </c>
      <c r="D230" s="16" t="s">
        <v>12</v>
      </c>
      <c r="E230" s="98" t="s">
        <v>372</v>
      </c>
      <c r="F230" s="39">
        <f>1000-500-500</f>
        <v>0</v>
      </c>
      <c r="G230" s="39">
        <v>500</v>
      </c>
      <c r="H230" s="39">
        <v>500</v>
      </c>
    </row>
    <row r="231" spans="1:8" ht="105.75" customHeight="1">
      <c r="A231" s="16" t="s">
        <v>95</v>
      </c>
      <c r="B231" s="16" t="s">
        <v>123</v>
      </c>
      <c r="C231" s="136" t="s">
        <v>693</v>
      </c>
      <c r="D231" s="82"/>
      <c r="E231" s="98" t="s">
        <v>489</v>
      </c>
      <c r="F231" s="39">
        <f>F232</f>
        <v>80</v>
      </c>
      <c r="G231" s="39">
        <f t="shared" ref="G231:H231" si="21">G232</f>
        <v>100</v>
      </c>
      <c r="H231" s="39">
        <f t="shared" si="21"/>
        <v>100</v>
      </c>
    </row>
    <row r="232" spans="1:8" ht="63.75">
      <c r="A232" s="16" t="s">
        <v>95</v>
      </c>
      <c r="B232" s="16" t="s">
        <v>123</v>
      </c>
      <c r="C232" s="136" t="s">
        <v>693</v>
      </c>
      <c r="D232" s="16" t="s">
        <v>12</v>
      </c>
      <c r="E232" s="98" t="s">
        <v>372</v>
      </c>
      <c r="F232" s="39">
        <v>80</v>
      </c>
      <c r="G232" s="39">
        <v>100</v>
      </c>
      <c r="H232" s="39">
        <v>100</v>
      </c>
    </row>
    <row r="233" spans="1:8" ht="102">
      <c r="A233" s="16" t="s">
        <v>95</v>
      </c>
      <c r="B233" s="16" t="s">
        <v>123</v>
      </c>
      <c r="C233" s="136" t="s">
        <v>694</v>
      </c>
      <c r="D233" s="82"/>
      <c r="E233" s="98" t="s">
        <v>490</v>
      </c>
      <c r="F233" s="39">
        <f>F234</f>
        <v>700</v>
      </c>
      <c r="G233" s="39">
        <f t="shared" ref="G233:H233" si="22">G234</f>
        <v>700</v>
      </c>
      <c r="H233" s="39">
        <f t="shared" si="22"/>
        <v>700</v>
      </c>
    </row>
    <row r="234" spans="1:8" ht="63.75">
      <c r="A234" s="16" t="s">
        <v>95</v>
      </c>
      <c r="B234" s="16" t="s">
        <v>123</v>
      </c>
      <c r="C234" s="136" t="s">
        <v>694</v>
      </c>
      <c r="D234" s="16" t="s">
        <v>12</v>
      </c>
      <c r="E234" s="98" t="s">
        <v>372</v>
      </c>
      <c r="F234" s="39">
        <v>700</v>
      </c>
      <c r="G234" s="39">
        <v>700</v>
      </c>
      <c r="H234" s="39">
        <v>700</v>
      </c>
    </row>
    <row r="235" spans="1:8" ht="102">
      <c r="A235" s="16" t="s">
        <v>95</v>
      </c>
      <c r="B235" s="16" t="s">
        <v>123</v>
      </c>
      <c r="C235" s="136" t="s">
        <v>695</v>
      </c>
      <c r="D235" s="16"/>
      <c r="E235" s="98" t="s">
        <v>637</v>
      </c>
      <c r="F235" s="39">
        <f>F236</f>
        <v>269.89999999999998</v>
      </c>
      <c r="G235" s="39">
        <f t="shared" ref="G235:H235" si="23">G236</f>
        <v>0</v>
      </c>
      <c r="H235" s="39">
        <f t="shared" si="23"/>
        <v>0</v>
      </c>
    </row>
    <row r="236" spans="1:8" ht="63.75">
      <c r="A236" s="16" t="s">
        <v>95</v>
      </c>
      <c r="B236" s="16" t="s">
        <v>123</v>
      </c>
      <c r="C236" s="136" t="s">
        <v>695</v>
      </c>
      <c r="D236" s="16" t="s">
        <v>12</v>
      </c>
      <c r="E236" s="98" t="s">
        <v>372</v>
      </c>
      <c r="F236" s="39">
        <f>356-86.1</f>
        <v>269.89999999999998</v>
      </c>
      <c r="G236" s="39">
        <v>0</v>
      </c>
      <c r="H236" s="39">
        <v>0</v>
      </c>
    </row>
    <row r="237" spans="1:8" ht="76.5">
      <c r="A237" s="5" t="s">
        <v>95</v>
      </c>
      <c r="B237" s="5" t="s">
        <v>123</v>
      </c>
      <c r="C237" s="73" t="s">
        <v>147</v>
      </c>
      <c r="D237" s="16"/>
      <c r="E237" s="63" t="s">
        <v>619</v>
      </c>
      <c r="F237" s="96">
        <f>F238</f>
        <v>1356.4</v>
      </c>
      <c r="G237" s="96">
        <f>G238</f>
        <v>300</v>
      </c>
      <c r="H237" s="96">
        <f>H238</f>
        <v>300</v>
      </c>
    </row>
    <row r="238" spans="1:8" ht="63.75">
      <c r="A238" s="47" t="s">
        <v>95</v>
      </c>
      <c r="B238" s="47" t="s">
        <v>123</v>
      </c>
      <c r="C238" s="52" t="s">
        <v>148</v>
      </c>
      <c r="D238" s="16"/>
      <c r="E238" s="48" t="s">
        <v>583</v>
      </c>
      <c r="F238" s="93">
        <f>F239+F241+F243+F245</f>
        <v>1356.4</v>
      </c>
      <c r="G238" s="93">
        <f>G239+G241+G243+G245</f>
        <v>300</v>
      </c>
      <c r="H238" s="93">
        <f>H239+H241+H243+H245</f>
        <v>300</v>
      </c>
    </row>
    <row r="239" spans="1:8" ht="51">
      <c r="A239" s="16" t="s">
        <v>95</v>
      </c>
      <c r="B239" s="16" t="s">
        <v>123</v>
      </c>
      <c r="C239" s="138" t="s">
        <v>526</v>
      </c>
      <c r="D239" s="16"/>
      <c r="E239" s="99" t="s">
        <v>582</v>
      </c>
      <c r="F239" s="39">
        <f>F240</f>
        <v>0</v>
      </c>
      <c r="G239" s="39">
        <f>G240</f>
        <v>0</v>
      </c>
      <c r="H239" s="39">
        <f>H240</f>
        <v>300</v>
      </c>
    </row>
    <row r="240" spans="1:8" ht="38.25">
      <c r="A240" s="16" t="s">
        <v>95</v>
      </c>
      <c r="B240" s="16" t="s">
        <v>123</v>
      </c>
      <c r="C240" s="138" t="s">
        <v>526</v>
      </c>
      <c r="D240" s="82" t="s">
        <v>212</v>
      </c>
      <c r="E240" s="98" t="s">
        <v>213</v>
      </c>
      <c r="F240" s="39">
        <v>0</v>
      </c>
      <c r="G240" s="39">
        <v>0</v>
      </c>
      <c r="H240" s="39">
        <v>300</v>
      </c>
    </row>
    <row r="241" spans="1:8" ht="89.25">
      <c r="A241" s="16" t="s">
        <v>95</v>
      </c>
      <c r="B241" s="16" t="s">
        <v>123</v>
      </c>
      <c r="C241" s="74">
        <v>810123102</v>
      </c>
      <c r="D241" s="16"/>
      <c r="E241" s="99" t="s">
        <v>527</v>
      </c>
      <c r="F241" s="39">
        <f>F242</f>
        <v>591</v>
      </c>
      <c r="G241" s="39">
        <f>G242</f>
        <v>100</v>
      </c>
      <c r="H241" s="39">
        <f>H242</f>
        <v>0</v>
      </c>
    </row>
    <row r="242" spans="1:8" ht="38.25">
      <c r="A242" s="16" t="s">
        <v>95</v>
      </c>
      <c r="B242" s="16" t="s">
        <v>123</v>
      </c>
      <c r="C242" s="74">
        <v>810123102</v>
      </c>
      <c r="D242" s="82" t="s">
        <v>212</v>
      </c>
      <c r="E242" s="98" t="s">
        <v>213</v>
      </c>
      <c r="F242" s="39">
        <v>591</v>
      </c>
      <c r="G242" s="39">
        <v>100</v>
      </c>
      <c r="H242" s="39">
        <v>0</v>
      </c>
    </row>
    <row r="243" spans="1:8" ht="76.5">
      <c r="A243" s="16" t="s">
        <v>95</v>
      </c>
      <c r="B243" s="16" t="s">
        <v>123</v>
      </c>
      <c r="C243" s="74">
        <v>810123103</v>
      </c>
      <c r="D243" s="82"/>
      <c r="E243" s="98" t="s">
        <v>528</v>
      </c>
      <c r="F243" s="39">
        <f>F244</f>
        <v>435</v>
      </c>
      <c r="G243" s="39">
        <f>G244</f>
        <v>100</v>
      </c>
      <c r="H243" s="39">
        <f>H244</f>
        <v>0</v>
      </c>
    </row>
    <row r="244" spans="1:8" ht="38.25">
      <c r="A244" s="16" t="s">
        <v>95</v>
      </c>
      <c r="B244" s="16" t="s">
        <v>123</v>
      </c>
      <c r="C244" s="74">
        <v>810123103</v>
      </c>
      <c r="D244" s="82" t="s">
        <v>212</v>
      </c>
      <c r="E244" s="98" t="s">
        <v>213</v>
      </c>
      <c r="F244" s="39">
        <v>435</v>
      </c>
      <c r="G244" s="39">
        <v>100</v>
      </c>
      <c r="H244" s="39">
        <v>0</v>
      </c>
    </row>
    <row r="245" spans="1:8" ht="89.25">
      <c r="A245" s="16" t="s">
        <v>95</v>
      </c>
      <c r="B245" s="16" t="s">
        <v>123</v>
      </c>
      <c r="C245" s="74">
        <v>810123104</v>
      </c>
      <c r="D245" s="82"/>
      <c r="E245" s="98" t="s">
        <v>529</v>
      </c>
      <c r="F245" s="39">
        <f>F246</f>
        <v>330.4</v>
      </c>
      <c r="G245" s="39">
        <f>G246</f>
        <v>100</v>
      </c>
      <c r="H245" s="39">
        <f>H246</f>
        <v>0</v>
      </c>
    </row>
    <row r="246" spans="1:8" ht="38.25">
      <c r="A246" s="16" t="s">
        <v>95</v>
      </c>
      <c r="B246" s="16" t="s">
        <v>123</v>
      </c>
      <c r="C246" s="74">
        <v>810123104</v>
      </c>
      <c r="D246" s="82" t="s">
        <v>212</v>
      </c>
      <c r="E246" s="98" t="s">
        <v>213</v>
      </c>
      <c r="F246" s="39">
        <f>295.4+35</f>
        <v>330.4</v>
      </c>
      <c r="G246" s="39">
        <v>100</v>
      </c>
      <c r="H246" s="39">
        <v>0</v>
      </c>
    </row>
    <row r="247" spans="1:8" ht="30">
      <c r="A247" s="4" t="s">
        <v>96</v>
      </c>
      <c r="B247" s="3"/>
      <c r="C247" s="3"/>
      <c r="D247" s="3"/>
      <c r="E247" s="49" t="s">
        <v>48</v>
      </c>
      <c r="F247" s="92">
        <f>F248+F275+F315+F381</f>
        <v>91385.400000000009</v>
      </c>
      <c r="G247" s="92">
        <f>G248+G275+G315+G381</f>
        <v>52188</v>
      </c>
      <c r="H247" s="92">
        <f>H248+H275+H315+H381</f>
        <v>36047.200000000004</v>
      </c>
    </row>
    <row r="248" spans="1:8" ht="14.25">
      <c r="A248" s="30" t="s">
        <v>96</v>
      </c>
      <c r="B248" s="30" t="s">
        <v>89</v>
      </c>
      <c r="C248" s="30"/>
      <c r="D248" s="30"/>
      <c r="E248" s="27" t="s">
        <v>43</v>
      </c>
      <c r="F248" s="40">
        <f>F249</f>
        <v>9279.4</v>
      </c>
      <c r="G248" s="40">
        <f>G249</f>
        <v>6043.9</v>
      </c>
      <c r="H248" s="40">
        <f>H249</f>
        <v>6087.8</v>
      </c>
    </row>
    <row r="249" spans="1:8" ht="76.5">
      <c r="A249" s="5" t="s">
        <v>96</v>
      </c>
      <c r="B249" s="5" t="s">
        <v>89</v>
      </c>
      <c r="C249" s="73" t="s">
        <v>155</v>
      </c>
      <c r="D249" s="16"/>
      <c r="E249" s="142" t="s">
        <v>613</v>
      </c>
      <c r="F249" s="96">
        <f>F250+F256+F270</f>
        <v>9279.4</v>
      </c>
      <c r="G249" s="96">
        <f>G250+G256+G270</f>
        <v>6043.9</v>
      </c>
      <c r="H249" s="96">
        <f>H250+H256+H270</f>
        <v>6087.8</v>
      </c>
    </row>
    <row r="250" spans="1:8" ht="40.5" customHeight="1">
      <c r="A250" s="47" t="s">
        <v>96</v>
      </c>
      <c r="B250" s="47" t="s">
        <v>89</v>
      </c>
      <c r="C250" s="52" t="s">
        <v>151</v>
      </c>
      <c r="D250" s="16"/>
      <c r="E250" s="48" t="s">
        <v>300</v>
      </c>
      <c r="F250" s="93">
        <f>F251+F254</f>
        <v>2195.5</v>
      </c>
      <c r="G250" s="93">
        <f>G251+G254</f>
        <v>906.1</v>
      </c>
      <c r="H250" s="93">
        <f>H251+H254</f>
        <v>950</v>
      </c>
    </row>
    <row r="251" spans="1:8" ht="51">
      <c r="A251" s="16" t="s">
        <v>96</v>
      </c>
      <c r="B251" s="16" t="s">
        <v>89</v>
      </c>
      <c r="C251" s="137" t="s">
        <v>498</v>
      </c>
      <c r="D251" s="3"/>
      <c r="E251" s="98" t="s">
        <v>266</v>
      </c>
      <c r="F251" s="41">
        <f>SUM(F252:F253)</f>
        <v>1741.2</v>
      </c>
      <c r="G251" s="41">
        <f t="shared" ref="G251:H251" si="24">SUM(G252:G253)</f>
        <v>150</v>
      </c>
      <c r="H251" s="41">
        <f t="shared" si="24"/>
        <v>150</v>
      </c>
    </row>
    <row r="252" spans="1:8" ht="38.25">
      <c r="A252" s="16" t="s">
        <v>96</v>
      </c>
      <c r="B252" s="16" t="s">
        <v>89</v>
      </c>
      <c r="C252" s="137" t="s">
        <v>498</v>
      </c>
      <c r="D252" s="82" t="s">
        <v>212</v>
      </c>
      <c r="E252" s="98" t="s">
        <v>213</v>
      </c>
      <c r="F252" s="41">
        <f>100+853.3+72.8+2.5+693.5+7.2</f>
        <v>1729.3</v>
      </c>
      <c r="G252" s="41">
        <v>150</v>
      </c>
      <c r="H252" s="41">
        <v>150</v>
      </c>
    </row>
    <row r="253" spans="1:8">
      <c r="A253" s="16" t="s">
        <v>96</v>
      </c>
      <c r="B253" s="16" t="s">
        <v>89</v>
      </c>
      <c r="C253" s="137" t="s">
        <v>498</v>
      </c>
      <c r="D253" s="82" t="s">
        <v>716</v>
      </c>
      <c r="E253" s="98" t="s">
        <v>717</v>
      </c>
      <c r="F253" s="41">
        <f>7.6+4.3</f>
        <v>11.899999999999999</v>
      </c>
      <c r="G253" s="41">
        <v>0</v>
      </c>
      <c r="H253" s="41">
        <v>0</v>
      </c>
    </row>
    <row r="254" spans="1:8" ht="25.5">
      <c r="A254" s="16" t="s">
        <v>96</v>
      </c>
      <c r="B254" s="16" t="s">
        <v>89</v>
      </c>
      <c r="C254" s="21" t="s">
        <v>499</v>
      </c>
      <c r="D254" s="3"/>
      <c r="E254" s="98" t="s">
        <v>341</v>
      </c>
      <c r="F254" s="41">
        <f>F255</f>
        <v>454.3</v>
      </c>
      <c r="G254" s="41">
        <f>G255</f>
        <v>756.1</v>
      </c>
      <c r="H254" s="41">
        <f>H255</f>
        <v>800</v>
      </c>
    </row>
    <row r="255" spans="1:8" ht="38.25">
      <c r="A255" s="16" t="s">
        <v>96</v>
      </c>
      <c r="B255" s="16" t="s">
        <v>89</v>
      </c>
      <c r="C255" s="21" t="s">
        <v>499</v>
      </c>
      <c r="D255" s="82" t="s">
        <v>212</v>
      </c>
      <c r="E255" s="98" t="s">
        <v>213</v>
      </c>
      <c r="F255" s="39">
        <f>800-222.5-123.2</f>
        <v>454.3</v>
      </c>
      <c r="G255" s="39">
        <f>800-43.9</f>
        <v>756.1</v>
      </c>
      <c r="H255" s="39">
        <v>800</v>
      </c>
    </row>
    <row r="256" spans="1:8" ht="38.25">
      <c r="A256" s="47" t="s">
        <v>96</v>
      </c>
      <c r="B256" s="47" t="s">
        <v>89</v>
      </c>
      <c r="C256" s="52" t="s">
        <v>152</v>
      </c>
      <c r="D256" s="16"/>
      <c r="E256" s="48" t="s">
        <v>149</v>
      </c>
      <c r="F256" s="93">
        <f>F257+F259+F261+F263+F266+F268</f>
        <v>3549.5999999999995</v>
      </c>
      <c r="G256" s="93">
        <f>G257+G259+G261+G263+G266+G268</f>
        <v>2223.6999999999998</v>
      </c>
      <c r="H256" s="93">
        <f>H257+H259+H261+H263+H266+H268</f>
        <v>1810</v>
      </c>
    </row>
    <row r="257" spans="1:8" ht="131.25" customHeight="1">
      <c r="A257" s="16" t="s">
        <v>96</v>
      </c>
      <c r="B257" s="16" t="s">
        <v>89</v>
      </c>
      <c r="C257" s="79">
        <v>520123261</v>
      </c>
      <c r="D257" s="3"/>
      <c r="E257" s="98" t="s">
        <v>271</v>
      </c>
      <c r="F257" s="41">
        <f>F258</f>
        <v>0</v>
      </c>
      <c r="G257" s="41">
        <f>G258</f>
        <v>100</v>
      </c>
      <c r="H257" s="41">
        <f>H258</f>
        <v>100</v>
      </c>
    </row>
    <row r="258" spans="1:8" ht="38.25">
      <c r="A258" s="16" t="s">
        <v>96</v>
      </c>
      <c r="B258" s="16" t="s">
        <v>89</v>
      </c>
      <c r="C258" s="79">
        <v>520123261</v>
      </c>
      <c r="D258" s="82" t="s">
        <v>212</v>
      </c>
      <c r="E258" s="98" t="s">
        <v>213</v>
      </c>
      <c r="F258" s="41">
        <v>0</v>
      </c>
      <c r="G258" s="41">
        <v>100</v>
      </c>
      <c r="H258" s="41">
        <v>100</v>
      </c>
    </row>
    <row r="259" spans="1:8" ht="51">
      <c r="A259" s="16" t="s">
        <v>96</v>
      </c>
      <c r="B259" s="16" t="s">
        <v>89</v>
      </c>
      <c r="C259" s="79">
        <v>520123262</v>
      </c>
      <c r="D259" s="16"/>
      <c r="E259" s="98" t="s">
        <v>302</v>
      </c>
      <c r="F259" s="41">
        <f>F260</f>
        <v>15.7</v>
      </c>
      <c r="G259" s="41">
        <f>G260</f>
        <v>0</v>
      </c>
      <c r="H259" s="41">
        <f>H260</f>
        <v>20</v>
      </c>
    </row>
    <row r="260" spans="1:8" ht="38.25">
      <c r="A260" s="16" t="s">
        <v>96</v>
      </c>
      <c r="B260" s="16" t="s">
        <v>89</v>
      </c>
      <c r="C260" s="79">
        <v>520123262</v>
      </c>
      <c r="D260" s="82" t="s">
        <v>212</v>
      </c>
      <c r="E260" s="98" t="s">
        <v>213</v>
      </c>
      <c r="F260" s="41">
        <f>20-4.3</f>
        <v>15.7</v>
      </c>
      <c r="G260" s="41">
        <v>0</v>
      </c>
      <c r="H260" s="41">
        <v>20</v>
      </c>
    </row>
    <row r="261" spans="1:8" ht="25.5">
      <c r="A261" s="16" t="s">
        <v>96</v>
      </c>
      <c r="B261" s="16" t="s">
        <v>89</v>
      </c>
      <c r="C261" s="137" t="s">
        <v>500</v>
      </c>
      <c r="D261" s="82"/>
      <c r="E261" s="98" t="s">
        <v>501</v>
      </c>
      <c r="F261" s="41">
        <f>F262</f>
        <v>200</v>
      </c>
      <c r="G261" s="41">
        <f>G262</f>
        <v>160</v>
      </c>
      <c r="H261" s="41">
        <f>H262</f>
        <v>170</v>
      </c>
    </row>
    <row r="262" spans="1:8" ht="38.25">
      <c r="A262" s="16" t="s">
        <v>96</v>
      </c>
      <c r="B262" s="16" t="s">
        <v>89</v>
      </c>
      <c r="C262" s="137" t="s">
        <v>500</v>
      </c>
      <c r="D262" s="82" t="s">
        <v>212</v>
      </c>
      <c r="E262" s="98" t="s">
        <v>213</v>
      </c>
      <c r="F262" s="41">
        <v>200</v>
      </c>
      <c r="G262" s="41">
        <v>160</v>
      </c>
      <c r="H262" s="41">
        <v>170</v>
      </c>
    </row>
    <row r="263" spans="1:8" ht="51">
      <c r="A263" s="16" t="s">
        <v>96</v>
      </c>
      <c r="B263" s="16" t="s">
        <v>89</v>
      </c>
      <c r="C263" s="79">
        <v>520223264</v>
      </c>
      <c r="D263" s="82"/>
      <c r="E263" s="98" t="s">
        <v>503</v>
      </c>
      <c r="F263" s="41">
        <f>SUM(F264:F265)</f>
        <v>3333.8999999999996</v>
      </c>
      <c r="G263" s="41">
        <f>SUM(G264:G265)</f>
        <v>300</v>
      </c>
      <c r="H263" s="41">
        <f>SUM(H264:H265)</f>
        <v>0</v>
      </c>
    </row>
    <row r="264" spans="1:8">
      <c r="A264" s="16" t="s">
        <v>96</v>
      </c>
      <c r="B264" s="16" t="s">
        <v>89</v>
      </c>
      <c r="C264" s="79">
        <v>520223264</v>
      </c>
      <c r="D264" s="82" t="s">
        <v>716</v>
      </c>
      <c r="E264" s="98" t="s">
        <v>717</v>
      </c>
      <c r="F264" s="41">
        <f>67.5+9.8+0.1+23.3</f>
        <v>100.69999999999999</v>
      </c>
      <c r="G264" s="41">
        <v>0</v>
      </c>
      <c r="H264" s="41">
        <v>0</v>
      </c>
    </row>
    <row r="265" spans="1:8" ht="25.5">
      <c r="A265" s="16" t="s">
        <v>96</v>
      </c>
      <c r="B265" s="16" t="s">
        <v>89</v>
      </c>
      <c r="C265" s="79">
        <v>520223264</v>
      </c>
      <c r="D265" s="82" t="s">
        <v>132</v>
      </c>
      <c r="E265" s="98" t="s">
        <v>133</v>
      </c>
      <c r="F265" s="41">
        <f>1648+325.2+337+946.3-23.3</f>
        <v>3233.2</v>
      </c>
      <c r="G265" s="41">
        <v>300</v>
      </c>
      <c r="H265" s="41">
        <v>0</v>
      </c>
    </row>
    <row r="266" spans="1:8" ht="63.75">
      <c r="A266" s="16" t="s">
        <v>96</v>
      </c>
      <c r="B266" s="16" t="s">
        <v>89</v>
      </c>
      <c r="C266" s="79">
        <v>520223265</v>
      </c>
      <c r="D266" s="82"/>
      <c r="E266" s="98" t="s">
        <v>504</v>
      </c>
      <c r="F266" s="41">
        <f>F267</f>
        <v>0</v>
      </c>
      <c r="G266" s="41">
        <f>G267</f>
        <v>1463.7</v>
      </c>
      <c r="H266" s="41">
        <f>H267</f>
        <v>1220</v>
      </c>
    </row>
    <row r="267" spans="1:8">
      <c r="A267" s="16" t="s">
        <v>96</v>
      </c>
      <c r="B267" s="16" t="s">
        <v>89</v>
      </c>
      <c r="C267" s="79">
        <v>520223265</v>
      </c>
      <c r="D267" s="82" t="s">
        <v>251</v>
      </c>
      <c r="E267" s="99" t="s">
        <v>274</v>
      </c>
      <c r="F267" s="41">
        <f>1296.4-307.6-988.8</f>
        <v>0</v>
      </c>
      <c r="G267" s="41">
        <v>1463.7</v>
      </c>
      <c r="H267" s="41">
        <v>1220</v>
      </c>
    </row>
    <row r="268" spans="1:8" ht="38.25">
      <c r="A268" s="16" t="s">
        <v>96</v>
      </c>
      <c r="B268" s="16" t="s">
        <v>89</v>
      </c>
      <c r="C268" s="21" t="s">
        <v>505</v>
      </c>
      <c r="D268" s="82"/>
      <c r="E268" s="99" t="s">
        <v>275</v>
      </c>
      <c r="F268" s="41">
        <f>F269</f>
        <v>0</v>
      </c>
      <c r="G268" s="41">
        <f>G269</f>
        <v>200</v>
      </c>
      <c r="H268" s="41">
        <f>H269</f>
        <v>300</v>
      </c>
    </row>
    <row r="269" spans="1:8" ht="38.25">
      <c r="A269" s="16" t="s">
        <v>96</v>
      </c>
      <c r="B269" s="16" t="s">
        <v>89</v>
      </c>
      <c r="C269" s="21" t="s">
        <v>505</v>
      </c>
      <c r="D269" s="82" t="s">
        <v>212</v>
      </c>
      <c r="E269" s="98" t="s">
        <v>213</v>
      </c>
      <c r="F269" s="41">
        <v>0</v>
      </c>
      <c r="G269" s="39">
        <v>200</v>
      </c>
      <c r="H269" s="39">
        <v>300</v>
      </c>
    </row>
    <row r="270" spans="1:8" ht="63.75">
      <c r="A270" s="47" t="s">
        <v>96</v>
      </c>
      <c r="B270" s="47" t="s">
        <v>89</v>
      </c>
      <c r="C270" s="52" t="s">
        <v>153</v>
      </c>
      <c r="D270" s="16"/>
      <c r="E270" s="48" t="s">
        <v>150</v>
      </c>
      <c r="F270" s="93">
        <f>F271+F273</f>
        <v>3534.3</v>
      </c>
      <c r="G270" s="93">
        <f>G271+G273</f>
        <v>2914.1</v>
      </c>
      <c r="H270" s="93">
        <f>H271+H273</f>
        <v>3327.8</v>
      </c>
    </row>
    <row r="271" spans="1:8" ht="66.75" customHeight="1">
      <c r="A271" s="82" t="s">
        <v>96</v>
      </c>
      <c r="B271" s="82" t="s">
        <v>89</v>
      </c>
      <c r="C271" s="79">
        <v>530123271</v>
      </c>
      <c r="D271" s="16"/>
      <c r="E271" s="98" t="s">
        <v>154</v>
      </c>
      <c r="F271" s="41">
        <f>F272</f>
        <v>1612.2000000000003</v>
      </c>
      <c r="G271" s="41">
        <f>G272</f>
        <v>1487.8</v>
      </c>
      <c r="H271" s="41">
        <f>H272</f>
        <v>1487.8</v>
      </c>
    </row>
    <row r="272" spans="1:8" ht="38.25">
      <c r="A272" s="16" t="s">
        <v>96</v>
      </c>
      <c r="B272" s="16" t="s">
        <v>89</v>
      </c>
      <c r="C272" s="79">
        <v>530123271</v>
      </c>
      <c r="D272" s="82" t="s">
        <v>212</v>
      </c>
      <c r="E272" s="98" t="s">
        <v>213</v>
      </c>
      <c r="F272" s="1">
        <f>1461.4-6.8+123.2+22.9+11.5</f>
        <v>1612.2000000000003</v>
      </c>
      <c r="G272" s="1">
        <v>1487.8</v>
      </c>
      <c r="H272" s="1">
        <v>1487.8</v>
      </c>
    </row>
    <row r="273" spans="1:8" ht="55.5" customHeight="1">
      <c r="A273" s="16" t="s">
        <v>96</v>
      </c>
      <c r="B273" s="16" t="s">
        <v>89</v>
      </c>
      <c r="C273" s="79">
        <v>530223272</v>
      </c>
      <c r="D273" s="16"/>
      <c r="E273" s="98" t="s">
        <v>507</v>
      </c>
      <c r="F273" s="41">
        <f t="shared" ref="F273:H273" si="25">F274</f>
        <v>1922.1</v>
      </c>
      <c r="G273" s="41">
        <f t="shared" si="25"/>
        <v>1426.3</v>
      </c>
      <c r="H273" s="41">
        <f t="shared" si="25"/>
        <v>1840</v>
      </c>
    </row>
    <row r="274" spans="1:8" ht="38.25">
      <c r="A274" s="16" t="s">
        <v>96</v>
      </c>
      <c r="B274" s="16" t="s">
        <v>89</v>
      </c>
      <c r="C274" s="79">
        <v>530223272</v>
      </c>
      <c r="D274" s="82" t="s">
        <v>212</v>
      </c>
      <c r="E274" s="98" t="s">
        <v>213</v>
      </c>
      <c r="F274" s="41">
        <v>1922.1</v>
      </c>
      <c r="G274" s="41">
        <v>1426.3</v>
      </c>
      <c r="H274" s="41">
        <v>1840</v>
      </c>
    </row>
    <row r="275" spans="1:8" ht="14.25">
      <c r="A275" s="30" t="s">
        <v>96</v>
      </c>
      <c r="B275" s="30" t="s">
        <v>90</v>
      </c>
      <c r="C275" s="30"/>
      <c r="D275" s="30"/>
      <c r="E275" s="27" t="s">
        <v>42</v>
      </c>
      <c r="F275" s="40">
        <f>F276+F290+F312</f>
        <v>28510</v>
      </c>
      <c r="G275" s="40">
        <f>G276+G290+G312</f>
        <v>9613.7000000000007</v>
      </c>
      <c r="H275" s="40">
        <f>H276+H290+H312</f>
        <v>10942.2</v>
      </c>
    </row>
    <row r="276" spans="1:8" ht="63.75">
      <c r="A276" s="5" t="s">
        <v>96</v>
      </c>
      <c r="B276" s="5" t="s">
        <v>90</v>
      </c>
      <c r="C276" s="76">
        <v>400000000</v>
      </c>
      <c r="D276" s="5"/>
      <c r="E276" s="64" t="s">
        <v>386</v>
      </c>
      <c r="F276" s="96">
        <f t="shared" ref="F276:H276" si="26">F277</f>
        <v>15674.5</v>
      </c>
      <c r="G276" s="96">
        <f t="shared" si="26"/>
        <v>4148.7</v>
      </c>
      <c r="H276" s="96">
        <f t="shared" si="26"/>
        <v>5477.2</v>
      </c>
    </row>
    <row r="277" spans="1:8" ht="93.75" customHeight="1">
      <c r="A277" s="16" t="s">
        <v>96</v>
      </c>
      <c r="B277" s="16" t="s">
        <v>90</v>
      </c>
      <c r="C277" s="75">
        <v>430000000</v>
      </c>
      <c r="D277" s="16"/>
      <c r="E277" s="46" t="s">
        <v>723</v>
      </c>
      <c r="F277" s="93">
        <f>F278+F280+F282+F284+F286+F288</f>
        <v>15674.5</v>
      </c>
      <c r="G277" s="93">
        <f t="shared" ref="G277:H277" si="27">G278+G280+G282+G284+G286+G288</f>
        <v>4148.7</v>
      </c>
      <c r="H277" s="93">
        <f t="shared" si="27"/>
        <v>5477.2</v>
      </c>
    </row>
    <row r="278" spans="1:8" ht="114.75">
      <c r="A278" s="16" t="s">
        <v>96</v>
      </c>
      <c r="B278" s="16" t="s">
        <v>90</v>
      </c>
      <c r="C278" s="74">
        <v>430227340</v>
      </c>
      <c r="D278" s="16"/>
      <c r="E278" s="98" t="s">
        <v>651</v>
      </c>
      <c r="F278" s="39">
        <f>F279</f>
        <v>1540.3</v>
      </c>
      <c r="G278" s="39">
        <f t="shared" ref="G278:H278" si="28">G279</f>
        <v>1250</v>
      </c>
      <c r="H278" s="39">
        <f t="shared" si="28"/>
        <v>1720</v>
      </c>
    </row>
    <row r="279" spans="1:8" ht="63.75">
      <c r="A279" s="16" t="s">
        <v>96</v>
      </c>
      <c r="B279" s="16" t="s">
        <v>90</v>
      </c>
      <c r="C279" s="74">
        <v>430227340</v>
      </c>
      <c r="D279" s="16" t="s">
        <v>12</v>
      </c>
      <c r="E279" s="98" t="s">
        <v>324</v>
      </c>
      <c r="F279" s="39">
        <f>1720-80-99.7</f>
        <v>1540.3</v>
      </c>
      <c r="G279" s="39">
        <v>1250</v>
      </c>
      <c r="H279" s="39">
        <v>1720</v>
      </c>
    </row>
    <row r="280" spans="1:8" ht="124.5" customHeight="1">
      <c r="A280" s="16" t="s">
        <v>96</v>
      </c>
      <c r="B280" s="16" t="s">
        <v>90</v>
      </c>
      <c r="C280" s="74">
        <v>430227350</v>
      </c>
      <c r="D280" s="16"/>
      <c r="E280" s="98" t="s">
        <v>638</v>
      </c>
      <c r="F280" s="39">
        <f>F281</f>
        <v>22.9</v>
      </c>
      <c r="G280" s="39">
        <f t="shared" ref="G280:H280" si="29">G281</f>
        <v>0</v>
      </c>
      <c r="H280" s="39">
        <f t="shared" si="29"/>
        <v>21.7</v>
      </c>
    </row>
    <row r="281" spans="1:8" ht="63.75">
      <c r="A281" s="16" t="s">
        <v>96</v>
      </c>
      <c r="B281" s="16" t="s">
        <v>90</v>
      </c>
      <c r="C281" s="74">
        <v>430227350</v>
      </c>
      <c r="D281" s="16" t="s">
        <v>12</v>
      </c>
      <c r="E281" s="98" t="s">
        <v>324</v>
      </c>
      <c r="F281" s="39">
        <f>21.7+1.2</f>
        <v>22.9</v>
      </c>
      <c r="G281" s="39">
        <v>0</v>
      </c>
      <c r="H281" s="39">
        <v>21.7</v>
      </c>
    </row>
    <row r="282" spans="1:8" ht="126.75" customHeight="1">
      <c r="A282" s="16" t="s">
        <v>96</v>
      </c>
      <c r="B282" s="16" t="s">
        <v>90</v>
      </c>
      <c r="C282" s="74">
        <v>430227360</v>
      </c>
      <c r="D282" s="16"/>
      <c r="E282" s="98" t="s">
        <v>639</v>
      </c>
      <c r="F282" s="39">
        <f>F283</f>
        <v>5953.4000000000005</v>
      </c>
      <c r="G282" s="39">
        <f t="shared" ref="G282:H282" si="30">G283</f>
        <v>0</v>
      </c>
      <c r="H282" s="39">
        <f t="shared" si="30"/>
        <v>1661.6</v>
      </c>
    </row>
    <row r="283" spans="1:8" ht="63.75">
      <c r="A283" s="16" t="s">
        <v>96</v>
      </c>
      <c r="B283" s="16" t="s">
        <v>90</v>
      </c>
      <c r="C283" s="74">
        <v>430227360</v>
      </c>
      <c r="D283" s="16" t="s">
        <v>12</v>
      </c>
      <c r="E283" s="98" t="s">
        <v>324</v>
      </c>
      <c r="F283" s="39">
        <f>5227.7+586.1+300-160.4</f>
        <v>5953.4000000000005</v>
      </c>
      <c r="G283" s="39">
        <v>0</v>
      </c>
      <c r="H283" s="39">
        <v>1661.6</v>
      </c>
    </row>
    <row r="284" spans="1:8" ht="126.75" customHeight="1">
      <c r="A284" s="16" t="s">
        <v>96</v>
      </c>
      <c r="B284" s="16" t="s">
        <v>90</v>
      </c>
      <c r="C284" s="74">
        <v>430227370</v>
      </c>
      <c r="D284" s="16"/>
      <c r="E284" s="98" t="s">
        <v>652</v>
      </c>
      <c r="F284" s="39">
        <f>F285</f>
        <v>642.09999999999991</v>
      </c>
      <c r="G284" s="39">
        <f t="shared" ref="G284:H284" si="31">G285</f>
        <v>0</v>
      </c>
      <c r="H284" s="39">
        <f t="shared" si="31"/>
        <v>1107.7</v>
      </c>
    </row>
    <row r="285" spans="1:8" ht="63.75">
      <c r="A285" s="16" t="s">
        <v>96</v>
      </c>
      <c r="B285" s="16" t="s">
        <v>90</v>
      </c>
      <c r="C285" s="74">
        <v>430227370</v>
      </c>
      <c r="D285" s="16" t="s">
        <v>12</v>
      </c>
      <c r="E285" s="98" t="s">
        <v>324</v>
      </c>
      <c r="F285" s="39">
        <f>1606.6-900-64.5</f>
        <v>642.09999999999991</v>
      </c>
      <c r="G285" s="39">
        <v>0</v>
      </c>
      <c r="H285" s="39">
        <v>1107.7</v>
      </c>
    </row>
    <row r="286" spans="1:8" ht="127.5">
      <c r="A286" s="16" t="s">
        <v>96</v>
      </c>
      <c r="B286" s="16" t="s">
        <v>90</v>
      </c>
      <c r="C286" s="74">
        <v>430227390</v>
      </c>
      <c r="D286" s="16"/>
      <c r="E286" s="98" t="s">
        <v>720</v>
      </c>
      <c r="F286" s="39">
        <f>F287</f>
        <v>3115.8</v>
      </c>
      <c r="G286" s="39">
        <f t="shared" ref="G286:H286" si="32">G287</f>
        <v>2898.7</v>
      </c>
      <c r="H286" s="39">
        <f t="shared" si="32"/>
        <v>966.2</v>
      </c>
    </row>
    <row r="287" spans="1:8" ht="63.75">
      <c r="A287" s="16" t="s">
        <v>96</v>
      </c>
      <c r="B287" s="16" t="s">
        <v>90</v>
      </c>
      <c r="C287" s="74">
        <v>430227390</v>
      </c>
      <c r="D287" s="16" t="s">
        <v>12</v>
      </c>
      <c r="E287" s="98" t="s">
        <v>324</v>
      </c>
      <c r="F287" s="39">
        <v>3115.8</v>
      </c>
      <c r="G287" s="39">
        <v>2898.7</v>
      </c>
      <c r="H287" s="39">
        <v>966.2</v>
      </c>
    </row>
    <row r="288" spans="1:8" ht="126.75" customHeight="1">
      <c r="A288" s="16" t="s">
        <v>96</v>
      </c>
      <c r="B288" s="16" t="s">
        <v>90</v>
      </c>
      <c r="C288" s="74">
        <v>430227400</v>
      </c>
      <c r="D288" s="16"/>
      <c r="E288" s="98" t="s">
        <v>759</v>
      </c>
      <c r="F288" s="39">
        <f>F289</f>
        <v>4400</v>
      </c>
      <c r="G288" s="39">
        <f t="shared" ref="G288:H288" si="33">G289</f>
        <v>0</v>
      </c>
      <c r="H288" s="39">
        <f t="shared" si="33"/>
        <v>0</v>
      </c>
    </row>
    <row r="289" spans="1:8" ht="63.75">
      <c r="A289" s="16" t="s">
        <v>96</v>
      </c>
      <c r="B289" s="16" t="s">
        <v>90</v>
      </c>
      <c r="C289" s="74">
        <v>430227400</v>
      </c>
      <c r="D289" s="16" t="s">
        <v>12</v>
      </c>
      <c r="E289" s="98" t="s">
        <v>324</v>
      </c>
      <c r="F289" s="39">
        <v>4400</v>
      </c>
      <c r="G289" s="39">
        <v>0</v>
      </c>
      <c r="H289" s="39">
        <v>0</v>
      </c>
    </row>
    <row r="290" spans="1:8" ht="102">
      <c r="A290" s="5" t="s">
        <v>96</v>
      </c>
      <c r="B290" s="5" t="s">
        <v>90</v>
      </c>
      <c r="C290" s="81" t="s">
        <v>33</v>
      </c>
      <c r="D290" s="16"/>
      <c r="E290" s="53" t="s">
        <v>616</v>
      </c>
      <c r="F290" s="96">
        <f>F291+F298+F305</f>
        <v>12785.5</v>
      </c>
      <c r="G290" s="96">
        <f>G291+G298+G305</f>
        <v>5465</v>
      </c>
      <c r="H290" s="96">
        <f>H291+H298+H305</f>
        <v>5465</v>
      </c>
    </row>
    <row r="291" spans="1:8" ht="38.25">
      <c r="A291" s="16" t="s">
        <v>96</v>
      </c>
      <c r="B291" s="16" t="s">
        <v>90</v>
      </c>
      <c r="C291" s="52" t="s">
        <v>34</v>
      </c>
      <c r="D291" s="16"/>
      <c r="E291" s="48" t="s">
        <v>587</v>
      </c>
      <c r="F291" s="93">
        <f>F292+F294+F296</f>
        <v>499.7</v>
      </c>
      <c r="G291" s="93">
        <f t="shared" ref="G291:H291" si="34">G292+G294+G296</f>
        <v>565</v>
      </c>
      <c r="H291" s="93">
        <f t="shared" si="34"/>
        <v>565</v>
      </c>
    </row>
    <row r="292" spans="1:8" ht="25.5">
      <c r="A292" s="16" t="s">
        <v>96</v>
      </c>
      <c r="B292" s="16" t="s">
        <v>90</v>
      </c>
      <c r="C292" s="21" t="s">
        <v>511</v>
      </c>
      <c r="D292" s="3"/>
      <c r="E292" s="98" t="s">
        <v>189</v>
      </c>
      <c r="F292" s="41">
        <f t="shared" ref="F292:H292" si="35">F293</f>
        <v>485.7</v>
      </c>
      <c r="G292" s="41">
        <f t="shared" si="35"/>
        <v>445</v>
      </c>
      <c r="H292" s="41">
        <f t="shared" si="35"/>
        <v>445</v>
      </c>
    </row>
    <row r="293" spans="1:8" ht="38.25">
      <c r="A293" s="16" t="s">
        <v>96</v>
      </c>
      <c r="B293" s="16" t="s">
        <v>90</v>
      </c>
      <c r="C293" s="21" t="s">
        <v>511</v>
      </c>
      <c r="D293" s="82" t="s">
        <v>212</v>
      </c>
      <c r="E293" s="98" t="s">
        <v>213</v>
      </c>
      <c r="F293" s="41">
        <v>485.7</v>
      </c>
      <c r="G293" s="39">
        <v>445</v>
      </c>
      <c r="H293" s="39">
        <v>445</v>
      </c>
    </row>
    <row r="294" spans="1:8" ht="25.5">
      <c r="A294" s="16" t="s">
        <v>96</v>
      </c>
      <c r="B294" s="16" t="s">
        <v>90</v>
      </c>
      <c r="C294" s="21" t="s">
        <v>512</v>
      </c>
      <c r="D294" s="16"/>
      <c r="E294" s="98" t="s">
        <v>339</v>
      </c>
      <c r="F294" s="41">
        <f t="shared" ref="F294:H294" si="36">F295</f>
        <v>14</v>
      </c>
      <c r="G294" s="41">
        <f t="shared" si="36"/>
        <v>40</v>
      </c>
      <c r="H294" s="41">
        <f t="shared" si="36"/>
        <v>40</v>
      </c>
    </row>
    <row r="295" spans="1:8" ht="38.25">
      <c r="A295" s="16" t="s">
        <v>96</v>
      </c>
      <c r="B295" s="16" t="s">
        <v>90</v>
      </c>
      <c r="C295" s="21" t="s">
        <v>512</v>
      </c>
      <c r="D295" s="82" t="s">
        <v>212</v>
      </c>
      <c r="E295" s="98" t="s">
        <v>213</v>
      </c>
      <c r="F295" s="41">
        <f>8.3+1.7+4</f>
        <v>14</v>
      </c>
      <c r="G295" s="41">
        <v>40</v>
      </c>
      <c r="H295" s="41">
        <v>40</v>
      </c>
    </row>
    <row r="296" spans="1:8" ht="38.25">
      <c r="A296" s="16" t="s">
        <v>96</v>
      </c>
      <c r="B296" s="16" t="s">
        <v>90</v>
      </c>
      <c r="C296" s="21" t="s">
        <v>585</v>
      </c>
      <c r="D296" s="82"/>
      <c r="E296" s="98" t="s">
        <v>586</v>
      </c>
      <c r="F296" s="41">
        <f>F297</f>
        <v>0</v>
      </c>
      <c r="G296" s="41">
        <f t="shared" ref="G296:H296" si="37">G297</f>
        <v>80</v>
      </c>
      <c r="H296" s="41">
        <f t="shared" si="37"/>
        <v>80</v>
      </c>
    </row>
    <row r="297" spans="1:8" ht="38.25">
      <c r="A297" s="16" t="s">
        <v>96</v>
      </c>
      <c r="B297" s="16" t="s">
        <v>90</v>
      </c>
      <c r="C297" s="21" t="s">
        <v>585</v>
      </c>
      <c r="D297" s="82" t="s">
        <v>212</v>
      </c>
      <c r="E297" s="98" t="s">
        <v>213</v>
      </c>
      <c r="F297" s="41">
        <v>0</v>
      </c>
      <c r="G297" s="41">
        <v>80</v>
      </c>
      <c r="H297" s="41">
        <v>80</v>
      </c>
    </row>
    <row r="298" spans="1:8" ht="25.5">
      <c r="A298" s="47" t="s">
        <v>96</v>
      </c>
      <c r="B298" s="47" t="s">
        <v>90</v>
      </c>
      <c r="C298" s="52" t="s">
        <v>376</v>
      </c>
      <c r="D298" s="16"/>
      <c r="E298" s="46" t="s">
        <v>348</v>
      </c>
      <c r="F298" s="93">
        <f>F299+F301+F303</f>
        <v>1026.8999999999996</v>
      </c>
      <c r="G298" s="93">
        <f t="shared" ref="G298:H298" si="38">G299+G301+G303</f>
        <v>2900</v>
      </c>
      <c r="H298" s="93">
        <f t="shared" si="38"/>
        <v>2900</v>
      </c>
    </row>
    <row r="299" spans="1:8" ht="38.25">
      <c r="A299" s="16" t="s">
        <v>96</v>
      </c>
      <c r="B299" s="16" t="s">
        <v>90</v>
      </c>
      <c r="C299" s="21" t="s">
        <v>515</v>
      </c>
      <c r="D299" s="16"/>
      <c r="E299" s="97" t="s">
        <v>190</v>
      </c>
      <c r="F299" s="41">
        <f>F300</f>
        <v>178</v>
      </c>
      <c r="G299" s="41">
        <f>G300</f>
        <v>250</v>
      </c>
      <c r="H299" s="41">
        <f>H300</f>
        <v>250</v>
      </c>
    </row>
    <row r="300" spans="1:8" ht="38.25">
      <c r="A300" s="16" t="s">
        <v>96</v>
      </c>
      <c r="B300" s="16" t="s">
        <v>90</v>
      </c>
      <c r="C300" s="21" t="s">
        <v>515</v>
      </c>
      <c r="D300" s="82" t="s">
        <v>212</v>
      </c>
      <c r="E300" s="98" t="s">
        <v>213</v>
      </c>
      <c r="F300" s="41">
        <f>200-20.3-1.7</f>
        <v>178</v>
      </c>
      <c r="G300" s="41">
        <v>250</v>
      </c>
      <c r="H300" s="41">
        <v>250</v>
      </c>
    </row>
    <row r="301" spans="1:8" ht="25.5">
      <c r="A301" s="16" t="s">
        <v>96</v>
      </c>
      <c r="B301" s="16" t="s">
        <v>90</v>
      </c>
      <c r="C301" s="21" t="s">
        <v>517</v>
      </c>
      <c r="D301" s="82"/>
      <c r="E301" s="98" t="s">
        <v>516</v>
      </c>
      <c r="F301" s="41">
        <f>F302</f>
        <v>848.89999999999964</v>
      </c>
      <c r="G301" s="41">
        <f t="shared" ref="G301:H301" si="39">G302</f>
        <v>550</v>
      </c>
      <c r="H301" s="41">
        <f t="shared" si="39"/>
        <v>550</v>
      </c>
    </row>
    <row r="302" spans="1:8" ht="38.25">
      <c r="A302" s="16" t="s">
        <v>96</v>
      </c>
      <c r="B302" s="16" t="s">
        <v>90</v>
      </c>
      <c r="C302" s="21" t="s">
        <v>517</v>
      </c>
      <c r="D302" s="82" t="s">
        <v>212</v>
      </c>
      <c r="E302" s="98" t="s">
        <v>213</v>
      </c>
      <c r="F302" s="41">
        <f>500+146.9+280-78+5000-5000</f>
        <v>848.89999999999964</v>
      </c>
      <c r="G302" s="41">
        <v>550</v>
      </c>
      <c r="H302" s="41">
        <v>550</v>
      </c>
    </row>
    <row r="303" spans="1:8" ht="51">
      <c r="A303" s="16" t="s">
        <v>96</v>
      </c>
      <c r="B303" s="16" t="s">
        <v>90</v>
      </c>
      <c r="C303" s="21" t="s">
        <v>518</v>
      </c>
      <c r="D303" s="16"/>
      <c r="E303" s="98" t="s">
        <v>618</v>
      </c>
      <c r="F303" s="41">
        <f t="shared" ref="F303:H303" si="40">F304</f>
        <v>0</v>
      </c>
      <c r="G303" s="41">
        <f t="shared" si="40"/>
        <v>2100</v>
      </c>
      <c r="H303" s="41">
        <f t="shared" si="40"/>
        <v>2100</v>
      </c>
    </row>
    <row r="304" spans="1:8" ht="38.25">
      <c r="A304" s="16" t="s">
        <v>96</v>
      </c>
      <c r="B304" s="16" t="s">
        <v>90</v>
      </c>
      <c r="C304" s="21" t="s">
        <v>518</v>
      </c>
      <c r="D304" s="82" t="s">
        <v>212</v>
      </c>
      <c r="E304" s="98" t="s">
        <v>213</v>
      </c>
      <c r="F304" s="41">
        <f>2000+700-2700</f>
        <v>0</v>
      </c>
      <c r="G304" s="41">
        <v>2100</v>
      </c>
      <c r="H304" s="41">
        <v>2100</v>
      </c>
    </row>
    <row r="305" spans="1:8" ht="38.25">
      <c r="A305" s="16" t="s">
        <v>96</v>
      </c>
      <c r="B305" s="16" t="s">
        <v>90</v>
      </c>
      <c r="C305" s="52" t="s">
        <v>35</v>
      </c>
      <c r="D305" s="16"/>
      <c r="E305" s="46" t="s">
        <v>520</v>
      </c>
      <c r="F305" s="41">
        <f>F306+F308+F310</f>
        <v>11258.9</v>
      </c>
      <c r="G305" s="41">
        <f t="shared" ref="G305:H305" si="41">G306+G310</f>
        <v>2000</v>
      </c>
      <c r="H305" s="41">
        <f t="shared" si="41"/>
        <v>2000</v>
      </c>
    </row>
    <row r="306" spans="1:8" ht="38.25">
      <c r="A306" s="16" t="s">
        <v>96</v>
      </c>
      <c r="B306" s="16" t="s">
        <v>90</v>
      </c>
      <c r="C306" s="21" t="s">
        <v>522</v>
      </c>
      <c r="D306" s="16"/>
      <c r="E306" s="99" t="s">
        <v>521</v>
      </c>
      <c r="F306" s="41">
        <f>F307</f>
        <v>9721.9</v>
      </c>
      <c r="G306" s="41">
        <f t="shared" ref="G306:H306" si="42">G307</f>
        <v>1000</v>
      </c>
      <c r="H306" s="41">
        <f t="shared" si="42"/>
        <v>1000</v>
      </c>
    </row>
    <row r="307" spans="1:8" ht="38.25">
      <c r="A307" s="16" t="s">
        <v>96</v>
      </c>
      <c r="B307" s="16" t="s">
        <v>90</v>
      </c>
      <c r="C307" s="21" t="s">
        <v>522</v>
      </c>
      <c r="D307" s="82" t="s">
        <v>212</v>
      </c>
      <c r="E307" s="98" t="s">
        <v>213</v>
      </c>
      <c r="F307" s="41">
        <f>1700-700+700+3849.7+87.7+20.3+43.6+3961.7+63.5-4-0.6</f>
        <v>9721.9</v>
      </c>
      <c r="G307" s="41">
        <v>1000</v>
      </c>
      <c r="H307" s="41">
        <v>1000</v>
      </c>
    </row>
    <row r="308" spans="1:8" ht="51">
      <c r="A308" s="16" t="s">
        <v>96</v>
      </c>
      <c r="B308" s="16" t="s">
        <v>90</v>
      </c>
      <c r="C308" s="21" t="s">
        <v>726</v>
      </c>
      <c r="D308" s="82"/>
      <c r="E308" s="98" t="s">
        <v>725</v>
      </c>
      <c r="F308" s="41">
        <f>F309</f>
        <v>91</v>
      </c>
      <c r="G308" s="41">
        <f t="shared" ref="G308:H308" si="43">G309</f>
        <v>0</v>
      </c>
      <c r="H308" s="41">
        <f t="shared" si="43"/>
        <v>0</v>
      </c>
    </row>
    <row r="309" spans="1:8" ht="38.25">
      <c r="A309" s="16" t="s">
        <v>96</v>
      </c>
      <c r="B309" s="16" t="s">
        <v>90</v>
      </c>
      <c r="C309" s="21" t="s">
        <v>726</v>
      </c>
      <c r="D309" s="82" t="s">
        <v>212</v>
      </c>
      <c r="E309" s="98" t="s">
        <v>213</v>
      </c>
      <c r="F309" s="41">
        <v>91</v>
      </c>
      <c r="G309" s="41">
        <v>0</v>
      </c>
      <c r="H309" s="41">
        <v>0</v>
      </c>
    </row>
    <row r="310" spans="1:8" ht="25.5">
      <c r="A310" s="16" t="s">
        <v>96</v>
      </c>
      <c r="B310" s="16" t="s">
        <v>90</v>
      </c>
      <c r="C310" s="21" t="s">
        <v>523</v>
      </c>
      <c r="D310" s="16"/>
      <c r="E310" s="99" t="s">
        <v>378</v>
      </c>
      <c r="F310" s="41">
        <f>F311</f>
        <v>1446</v>
      </c>
      <c r="G310" s="41">
        <f t="shared" ref="G310:H310" si="44">G311</f>
        <v>1000</v>
      </c>
      <c r="H310" s="41">
        <f t="shared" si="44"/>
        <v>1000</v>
      </c>
    </row>
    <row r="311" spans="1:8">
      <c r="A311" s="16" t="s">
        <v>96</v>
      </c>
      <c r="B311" s="16" t="s">
        <v>90</v>
      </c>
      <c r="C311" s="21" t="s">
        <v>523</v>
      </c>
      <c r="D311" s="82" t="s">
        <v>251</v>
      </c>
      <c r="E311" s="99" t="s">
        <v>274</v>
      </c>
      <c r="F311" s="41">
        <f>1515.6-69.6</f>
        <v>1446</v>
      </c>
      <c r="G311" s="41">
        <v>1000</v>
      </c>
      <c r="H311" s="41">
        <v>1000</v>
      </c>
    </row>
    <row r="312" spans="1:8" ht="38.25">
      <c r="A312" s="16" t="s">
        <v>96</v>
      </c>
      <c r="B312" s="16" t="s">
        <v>90</v>
      </c>
      <c r="C312" s="82" t="s">
        <v>25</v>
      </c>
      <c r="D312" s="82"/>
      <c r="E312" s="99" t="s">
        <v>39</v>
      </c>
      <c r="F312" s="41">
        <f>F313</f>
        <v>50</v>
      </c>
      <c r="G312" s="41">
        <f t="shared" ref="G312:H312" si="45">G313</f>
        <v>0</v>
      </c>
      <c r="H312" s="41">
        <f t="shared" si="45"/>
        <v>0</v>
      </c>
    </row>
    <row r="313" spans="1:8" ht="51">
      <c r="A313" s="16" t="s">
        <v>96</v>
      </c>
      <c r="B313" s="16" t="s">
        <v>90</v>
      </c>
      <c r="C313" s="82" t="s">
        <v>606</v>
      </c>
      <c r="D313" s="16"/>
      <c r="E313" s="54" t="s">
        <v>605</v>
      </c>
      <c r="F313" s="41">
        <f>SUM(F314:F314)</f>
        <v>50</v>
      </c>
      <c r="G313" s="41">
        <f>SUM(G314:G314)</f>
        <v>0</v>
      </c>
      <c r="H313" s="41">
        <f>SUM(H314:H314)</f>
        <v>0</v>
      </c>
    </row>
    <row r="314" spans="1:8" ht="38.25">
      <c r="A314" s="16" t="s">
        <v>96</v>
      </c>
      <c r="B314" s="16" t="s">
        <v>90</v>
      </c>
      <c r="C314" s="82" t="s">
        <v>606</v>
      </c>
      <c r="D314" s="82" t="s">
        <v>212</v>
      </c>
      <c r="E314" s="98" t="s">
        <v>213</v>
      </c>
      <c r="F314" s="39">
        <v>50</v>
      </c>
      <c r="G314" s="39">
        <v>0</v>
      </c>
      <c r="H314" s="39">
        <v>0</v>
      </c>
    </row>
    <row r="315" spans="1:8" ht="14.25">
      <c r="A315" s="30" t="s">
        <v>96</v>
      </c>
      <c r="B315" s="30" t="s">
        <v>94</v>
      </c>
      <c r="C315" s="30"/>
      <c r="D315" s="30"/>
      <c r="E315" s="27" t="s">
        <v>49</v>
      </c>
      <c r="F315" s="40">
        <f>F316+F322+F359+F367</f>
        <v>52031.9</v>
      </c>
      <c r="G315" s="40">
        <f t="shared" ref="G315:H315" si="46">G316+G322+G359+G367</f>
        <v>35349.5</v>
      </c>
      <c r="H315" s="40">
        <f t="shared" si="46"/>
        <v>17836.3</v>
      </c>
    </row>
    <row r="316" spans="1:8" ht="89.25">
      <c r="A316" s="5" t="s">
        <v>96</v>
      </c>
      <c r="B316" s="5" t="s">
        <v>94</v>
      </c>
      <c r="C316" s="78" t="s">
        <v>66</v>
      </c>
      <c r="D316" s="16"/>
      <c r="E316" s="63" t="s">
        <v>612</v>
      </c>
      <c r="F316" s="96">
        <f t="shared" ref="F316:H316" si="47">F317</f>
        <v>524.5</v>
      </c>
      <c r="G316" s="96">
        <f t="shared" si="47"/>
        <v>529.29999999999995</v>
      </c>
      <c r="H316" s="96">
        <f t="shared" si="47"/>
        <v>529.29999999999995</v>
      </c>
    </row>
    <row r="317" spans="1:8" ht="51">
      <c r="A317" s="47" t="s">
        <v>96</v>
      </c>
      <c r="B317" s="47" t="s">
        <v>94</v>
      </c>
      <c r="C317" s="77" t="s">
        <v>67</v>
      </c>
      <c r="D317" s="16"/>
      <c r="E317" s="60" t="s">
        <v>510</v>
      </c>
      <c r="F317" s="93">
        <f>F318+F320</f>
        <v>524.5</v>
      </c>
      <c r="G317" s="93">
        <f t="shared" ref="G317:H317" si="48">G318+G320</f>
        <v>529.29999999999995</v>
      </c>
      <c r="H317" s="93">
        <f t="shared" si="48"/>
        <v>529.29999999999995</v>
      </c>
    </row>
    <row r="318" spans="1:8" ht="38.25">
      <c r="A318" s="82" t="s">
        <v>96</v>
      </c>
      <c r="B318" s="82" t="s">
        <v>94</v>
      </c>
      <c r="C318" s="138" t="s">
        <v>508</v>
      </c>
      <c r="D318" s="16"/>
      <c r="E318" s="98" t="s">
        <v>645</v>
      </c>
      <c r="F318" s="41">
        <f t="shared" ref="F318:H318" si="49">F319</f>
        <v>515.5</v>
      </c>
      <c r="G318" s="41">
        <f t="shared" si="49"/>
        <v>520.29999999999995</v>
      </c>
      <c r="H318" s="41">
        <f t="shared" si="49"/>
        <v>520.29999999999995</v>
      </c>
    </row>
    <row r="319" spans="1:8" ht="38.25">
      <c r="A319" s="82" t="s">
        <v>96</v>
      </c>
      <c r="B319" s="82" t="s">
        <v>94</v>
      </c>
      <c r="C319" s="138" t="s">
        <v>508</v>
      </c>
      <c r="D319" s="82" t="s">
        <v>212</v>
      </c>
      <c r="E319" s="98" t="s">
        <v>213</v>
      </c>
      <c r="F319" s="41">
        <f>520.3+300-304.8</f>
        <v>515.5</v>
      </c>
      <c r="G319" s="41">
        <v>520.29999999999995</v>
      </c>
      <c r="H319" s="41">
        <v>520.29999999999995</v>
      </c>
    </row>
    <row r="320" spans="1:8" ht="38.25">
      <c r="A320" s="82" t="s">
        <v>96</v>
      </c>
      <c r="B320" s="82" t="s">
        <v>94</v>
      </c>
      <c r="C320" s="138" t="s">
        <v>580</v>
      </c>
      <c r="D320" s="82"/>
      <c r="E320" s="98" t="s">
        <v>581</v>
      </c>
      <c r="F320" s="41">
        <f>F321</f>
        <v>9</v>
      </c>
      <c r="G320" s="41">
        <f t="shared" ref="G320:H320" si="50">G321</f>
        <v>9</v>
      </c>
      <c r="H320" s="41">
        <f t="shared" si="50"/>
        <v>9</v>
      </c>
    </row>
    <row r="321" spans="1:8" ht="38.25">
      <c r="A321" s="82" t="s">
        <v>96</v>
      </c>
      <c r="B321" s="82" t="s">
        <v>94</v>
      </c>
      <c r="C321" s="138" t="s">
        <v>580</v>
      </c>
      <c r="D321" s="82" t="s">
        <v>212</v>
      </c>
      <c r="E321" s="98" t="s">
        <v>213</v>
      </c>
      <c r="F321" s="41">
        <v>9</v>
      </c>
      <c r="G321" s="41">
        <v>9</v>
      </c>
      <c r="H321" s="41">
        <v>9</v>
      </c>
    </row>
    <row r="322" spans="1:8" ht="89.25">
      <c r="A322" s="5" t="s">
        <v>96</v>
      </c>
      <c r="B322" s="5" t="s">
        <v>94</v>
      </c>
      <c r="C322" s="73" t="s">
        <v>56</v>
      </c>
      <c r="D322" s="16"/>
      <c r="E322" s="53" t="s">
        <v>623</v>
      </c>
      <c r="F322" s="96">
        <f>F323+F333+F338+F346</f>
        <v>30614.400000000001</v>
      </c>
      <c r="G322" s="96">
        <f t="shared" ref="G322:H322" si="51">G323+G333+G338+G346</f>
        <v>16307</v>
      </c>
      <c r="H322" s="96">
        <f t="shared" si="51"/>
        <v>16307</v>
      </c>
    </row>
    <row r="323" spans="1:8" ht="38.25">
      <c r="A323" s="82" t="s">
        <v>96</v>
      </c>
      <c r="B323" s="82" t="s">
        <v>94</v>
      </c>
      <c r="C323" s="52" t="s">
        <v>57</v>
      </c>
      <c r="D323" s="47"/>
      <c r="E323" s="48" t="s">
        <v>653</v>
      </c>
      <c r="F323" s="93">
        <f>F324+F326+F329+F331</f>
        <v>10813.7</v>
      </c>
      <c r="G323" s="93">
        <f t="shared" ref="G323:H323" si="52">G324+G326+G329+G331</f>
        <v>5450</v>
      </c>
      <c r="H323" s="93">
        <f t="shared" si="52"/>
        <v>5450</v>
      </c>
    </row>
    <row r="324" spans="1:8" ht="38.25">
      <c r="A324" s="16" t="s">
        <v>96</v>
      </c>
      <c r="B324" s="82" t="s">
        <v>94</v>
      </c>
      <c r="C324" s="74">
        <v>1210123505</v>
      </c>
      <c r="D324" s="21"/>
      <c r="E324" s="98" t="s">
        <v>538</v>
      </c>
      <c r="F324" s="41">
        <f>F325</f>
        <v>4068.2000000000003</v>
      </c>
      <c r="G324" s="41">
        <f>G325</f>
        <v>1750</v>
      </c>
      <c r="H324" s="41">
        <f>H325</f>
        <v>1750</v>
      </c>
    </row>
    <row r="325" spans="1:8" ht="38.25">
      <c r="A325" s="82" t="s">
        <v>96</v>
      </c>
      <c r="B325" s="82" t="s">
        <v>94</v>
      </c>
      <c r="C325" s="74">
        <v>1210123505</v>
      </c>
      <c r="D325" s="82" t="s">
        <v>212</v>
      </c>
      <c r="E325" s="98" t="s">
        <v>213</v>
      </c>
      <c r="F325" s="39">
        <f>4057.1+14.3-3.2</f>
        <v>4068.2000000000003</v>
      </c>
      <c r="G325" s="39">
        <v>1750</v>
      </c>
      <c r="H325" s="39">
        <v>1750</v>
      </c>
    </row>
    <row r="326" spans="1:8" ht="63.75">
      <c r="A326" s="82" t="s">
        <v>96</v>
      </c>
      <c r="B326" s="82" t="s">
        <v>94</v>
      </c>
      <c r="C326" s="74">
        <v>1210123510</v>
      </c>
      <c r="D326" s="21"/>
      <c r="E326" s="98" t="s">
        <v>239</v>
      </c>
      <c r="F326" s="41">
        <f>SUM(F327:F328)</f>
        <v>5263.6</v>
      </c>
      <c r="G326" s="41">
        <f t="shared" ref="G326:H326" si="53">SUM(G327:G328)</f>
        <v>2850</v>
      </c>
      <c r="H326" s="41">
        <f t="shared" si="53"/>
        <v>2850</v>
      </c>
    </row>
    <row r="327" spans="1:8" ht="38.25">
      <c r="A327" s="16" t="s">
        <v>96</v>
      </c>
      <c r="B327" s="82" t="s">
        <v>94</v>
      </c>
      <c r="C327" s="74">
        <v>1210123510</v>
      </c>
      <c r="D327" s="82" t="s">
        <v>212</v>
      </c>
      <c r="E327" s="98" t="s">
        <v>213</v>
      </c>
      <c r="F327" s="41">
        <f>5538.8-14.3-63.9-0.2-218+15+6</f>
        <v>5263.4000000000005</v>
      </c>
      <c r="G327" s="41">
        <v>2850</v>
      </c>
      <c r="H327" s="41">
        <v>2850</v>
      </c>
    </row>
    <row r="328" spans="1:8">
      <c r="A328" s="16" t="s">
        <v>96</v>
      </c>
      <c r="B328" s="82" t="s">
        <v>94</v>
      </c>
      <c r="C328" s="74">
        <v>1210123510</v>
      </c>
      <c r="D328" s="82" t="s">
        <v>716</v>
      </c>
      <c r="E328" s="98" t="s">
        <v>717</v>
      </c>
      <c r="F328" s="41">
        <v>0.2</v>
      </c>
      <c r="G328" s="41">
        <v>0</v>
      </c>
      <c r="H328" s="41">
        <v>0</v>
      </c>
    </row>
    <row r="329" spans="1:8" ht="25.5">
      <c r="A329" s="82" t="s">
        <v>96</v>
      </c>
      <c r="B329" s="82" t="s">
        <v>94</v>
      </c>
      <c r="C329" s="74">
        <v>1210123515</v>
      </c>
      <c r="D329" s="16"/>
      <c r="E329" s="98" t="s">
        <v>23</v>
      </c>
      <c r="F329" s="41">
        <f>F330</f>
        <v>1131.9000000000001</v>
      </c>
      <c r="G329" s="41">
        <f>G330</f>
        <v>500</v>
      </c>
      <c r="H329" s="41">
        <f>H330</f>
        <v>500</v>
      </c>
    </row>
    <row r="330" spans="1:8" ht="38.25">
      <c r="A330" s="82" t="s">
        <v>96</v>
      </c>
      <c r="B330" s="82" t="s">
        <v>94</v>
      </c>
      <c r="C330" s="74">
        <v>1210123515</v>
      </c>
      <c r="D330" s="82" t="s">
        <v>212</v>
      </c>
      <c r="E330" s="98" t="s">
        <v>213</v>
      </c>
      <c r="F330" s="41">
        <v>1131.9000000000001</v>
      </c>
      <c r="G330" s="41">
        <v>500</v>
      </c>
      <c r="H330" s="41">
        <v>500</v>
      </c>
    </row>
    <row r="331" spans="1:8" ht="25.5">
      <c r="A331" s="16" t="s">
        <v>96</v>
      </c>
      <c r="B331" s="82" t="s">
        <v>94</v>
      </c>
      <c r="C331" s="74">
        <v>1210223520</v>
      </c>
      <c r="D331" s="16"/>
      <c r="E331" s="98" t="s">
        <v>240</v>
      </c>
      <c r="F331" s="41">
        <f>F332</f>
        <v>350</v>
      </c>
      <c r="G331" s="41">
        <f>G332</f>
        <v>350</v>
      </c>
      <c r="H331" s="41">
        <f>H332</f>
        <v>350</v>
      </c>
    </row>
    <row r="332" spans="1:8" ht="38.25">
      <c r="A332" s="82" t="s">
        <v>96</v>
      </c>
      <c r="B332" s="82" t="s">
        <v>94</v>
      </c>
      <c r="C332" s="74">
        <v>1210223520</v>
      </c>
      <c r="D332" s="82" t="s">
        <v>212</v>
      </c>
      <c r="E332" s="98" t="s">
        <v>213</v>
      </c>
      <c r="F332" s="39">
        <v>350</v>
      </c>
      <c r="G332" s="39">
        <v>350</v>
      </c>
      <c r="H332" s="39">
        <v>350</v>
      </c>
    </row>
    <row r="333" spans="1:8" ht="25.5">
      <c r="A333" s="82" t="s">
        <v>96</v>
      </c>
      <c r="B333" s="82" t="s">
        <v>94</v>
      </c>
      <c r="C333" s="52" t="s">
        <v>58</v>
      </c>
      <c r="D333" s="47"/>
      <c r="E333" s="48" t="s">
        <v>26</v>
      </c>
      <c r="F333" s="93">
        <f>F334+F336</f>
        <v>1963.8</v>
      </c>
      <c r="G333" s="93">
        <f t="shared" ref="G333:H333" si="54">G334+G336</f>
        <v>1325</v>
      </c>
      <c r="H333" s="93">
        <f t="shared" si="54"/>
        <v>1325</v>
      </c>
    </row>
    <row r="334" spans="1:8" ht="25.5">
      <c r="A334" s="82" t="s">
        <v>96</v>
      </c>
      <c r="B334" s="82" t="s">
        <v>94</v>
      </c>
      <c r="C334" s="79">
        <v>1220123525</v>
      </c>
      <c r="D334" s="16"/>
      <c r="E334" s="98" t="s">
        <v>191</v>
      </c>
      <c r="F334" s="41">
        <f t="shared" ref="F334:H334" si="55">F335</f>
        <v>1963.8</v>
      </c>
      <c r="G334" s="41">
        <f t="shared" si="55"/>
        <v>850</v>
      </c>
      <c r="H334" s="41">
        <f t="shared" si="55"/>
        <v>850</v>
      </c>
    </row>
    <row r="335" spans="1:8" ht="38.25">
      <c r="A335" s="82" t="s">
        <v>96</v>
      </c>
      <c r="B335" s="82" t="s">
        <v>94</v>
      </c>
      <c r="C335" s="79">
        <v>1220123525</v>
      </c>
      <c r="D335" s="82" t="s">
        <v>212</v>
      </c>
      <c r="E335" s="98" t="s">
        <v>213</v>
      </c>
      <c r="F335" s="41">
        <f>1972.7-8.9</f>
        <v>1963.8</v>
      </c>
      <c r="G335" s="41">
        <v>850</v>
      </c>
      <c r="H335" s="41">
        <v>850</v>
      </c>
    </row>
    <row r="336" spans="1:8" ht="25.5">
      <c r="A336" s="82" t="s">
        <v>96</v>
      </c>
      <c r="B336" s="82" t="s">
        <v>94</v>
      </c>
      <c r="C336" s="79">
        <v>1220223530</v>
      </c>
      <c r="D336" s="16"/>
      <c r="E336" s="98" t="s">
        <v>192</v>
      </c>
      <c r="F336" s="41">
        <f>F337</f>
        <v>0</v>
      </c>
      <c r="G336" s="41">
        <f>G337</f>
        <v>475</v>
      </c>
      <c r="H336" s="41">
        <f>H337</f>
        <v>475</v>
      </c>
    </row>
    <row r="337" spans="1:8" ht="38.25">
      <c r="A337" s="82" t="s">
        <v>96</v>
      </c>
      <c r="B337" s="82" t="s">
        <v>94</v>
      </c>
      <c r="C337" s="79">
        <v>1220223530</v>
      </c>
      <c r="D337" s="82" t="s">
        <v>212</v>
      </c>
      <c r="E337" s="98" t="s">
        <v>213</v>
      </c>
      <c r="F337" s="39">
        <v>0</v>
      </c>
      <c r="G337" s="39">
        <v>475</v>
      </c>
      <c r="H337" s="39">
        <v>475</v>
      </c>
    </row>
    <row r="338" spans="1:8" ht="41.25" customHeight="1">
      <c r="A338" s="82" t="s">
        <v>96</v>
      </c>
      <c r="B338" s="82" t="s">
        <v>94</v>
      </c>
      <c r="C338" s="52" t="s">
        <v>59</v>
      </c>
      <c r="D338" s="47"/>
      <c r="E338" s="48" t="s">
        <v>654</v>
      </c>
      <c r="F338" s="93">
        <f>F339+F342+F344</f>
        <v>4668.4000000000005</v>
      </c>
      <c r="G338" s="93">
        <f t="shared" ref="G338:H338" si="56">G339+G342+G344</f>
        <v>4407</v>
      </c>
      <c r="H338" s="93">
        <f t="shared" si="56"/>
        <v>4407</v>
      </c>
    </row>
    <row r="339" spans="1:8" ht="25.5">
      <c r="A339" s="82" t="s">
        <v>96</v>
      </c>
      <c r="B339" s="82" t="s">
        <v>94</v>
      </c>
      <c r="C339" s="21" t="s">
        <v>541</v>
      </c>
      <c r="D339" s="16"/>
      <c r="E339" s="98" t="s">
        <v>307</v>
      </c>
      <c r="F339" s="41">
        <f>SUM(F340:F341)</f>
        <v>3681.3</v>
      </c>
      <c r="G339" s="41">
        <f>G340</f>
        <v>3800</v>
      </c>
      <c r="H339" s="41">
        <f>H340</f>
        <v>3800</v>
      </c>
    </row>
    <row r="340" spans="1:8" ht="38.25">
      <c r="A340" s="82" t="s">
        <v>96</v>
      </c>
      <c r="B340" s="82" t="s">
        <v>94</v>
      </c>
      <c r="C340" s="21" t="s">
        <v>541</v>
      </c>
      <c r="D340" s="82" t="s">
        <v>212</v>
      </c>
      <c r="E340" s="98" t="s">
        <v>213</v>
      </c>
      <c r="F340" s="41">
        <f>3681.3-0.6</f>
        <v>3680.7000000000003</v>
      </c>
      <c r="G340" s="41">
        <v>3800</v>
      </c>
      <c r="H340" s="41">
        <v>3800</v>
      </c>
    </row>
    <row r="341" spans="1:8">
      <c r="A341" s="82" t="s">
        <v>96</v>
      </c>
      <c r="B341" s="82" t="s">
        <v>94</v>
      </c>
      <c r="C341" s="21" t="s">
        <v>541</v>
      </c>
      <c r="D341" s="82" t="s">
        <v>716</v>
      </c>
      <c r="E341" s="98" t="s">
        <v>717</v>
      </c>
      <c r="F341" s="41">
        <v>0.6</v>
      </c>
      <c r="G341" s="41">
        <v>0</v>
      </c>
      <c r="H341" s="41">
        <v>0</v>
      </c>
    </row>
    <row r="342" spans="1:8" ht="25.5">
      <c r="A342" s="82" t="s">
        <v>96</v>
      </c>
      <c r="B342" s="82" t="s">
        <v>94</v>
      </c>
      <c r="C342" s="21" t="s">
        <v>542</v>
      </c>
      <c r="D342" s="16"/>
      <c r="E342" s="98" t="s">
        <v>24</v>
      </c>
      <c r="F342" s="41">
        <f>F343</f>
        <v>980.1</v>
      </c>
      <c r="G342" s="41">
        <f>G343</f>
        <v>600</v>
      </c>
      <c r="H342" s="41">
        <f>H343</f>
        <v>600</v>
      </c>
    </row>
    <row r="343" spans="1:8" ht="38.25">
      <c r="A343" s="82" t="s">
        <v>96</v>
      </c>
      <c r="B343" s="82" t="s">
        <v>94</v>
      </c>
      <c r="C343" s="21" t="s">
        <v>542</v>
      </c>
      <c r="D343" s="82" t="s">
        <v>212</v>
      </c>
      <c r="E343" s="98" t="s">
        <v>213</v>
      </c>
      <c r="F343" s="41">
        <f>600+380.1</f>
        <v>980.1</v>
      </c>
      <c r="G343" s="41">
        <v>600</v>
      </c>
      <c r="H343" s="41">
        <v>600</v>
      </c>
    </row>
    <row r="344" spans="1:8" ht="25.5">
      <c r="A344" s="82" t="s">
        <v>96</v>
      </c>
      <c r="B344" s="82" t="s">
        <v>94</v>
      </c>
      <c r="C344" s="21" t="s">
        <v>543</v>
      </c>
      <c r="D344" s="16"/>
      <c r="E344" s="98" t="s">
        <v>193</v>
      </c>
      <c r="F344" s="41">
        <f>F345</f>
        <v>7</v>
      </c>
      <c r="G344" s="41">
        <f>G345</f>
        <v>7</v>
      </c>
      <c r="H344" s="41">
        <f>H345</f>
        <v>7</v>
      </c>
    </row>
    <row r="345" spans="1:8" ht="38.25">
      <c r="A345" s="82" t="s">
        <v>96</v>
      </c>
      <c r="B345" s="82" t="s">
        <v>94</v>
      </c>
      <c r="C345" s="21" t="s">
        <v>543</v>
      </c>
      <c r="D345" s="82" t="s">
        <v>212</v>
      </c>
      <c r="E345" s="98" t="s">
        <v>213</v>
      </c>
      <c r="F345" s="41">
        <v>7</v>
      </c>
      <c r="G345" s="41">
        <v>7</v>
      </c>
      <c r="H345" s="41">
        <v>7</v>
      </c>
    </row>
    <row r="346" spans="1:8" ht="51">
      <c r="A346" s="82" t="s">
        <v>96</v>
      </c>
      <c r="B346" s="82" t="s">
        <v>94</v>
      </c>
      <c r="C346" s="52" t="s">
        <v>544</v>
      </c>
      <c r="D346" s="16"/>
      <c r="E346" s="60" t="s">
        <v>545</v>
      </c>
      <c r="F346" s="41">
        <f>F347+F349+F351+F353+F355+F357</f>
        <v>13168.5</v>
      </c>
      <c r="G346" s="41">
        <f t="shared" ref="G346:H346" si="57">G347+G349+G351+G353+G355+G357</f>
        <v>5125</v>
      </c>
      <c r="H346" s="41">
        <f t="shared" si="57"/>
        <v>5125</v>
      </c>
    </row>
    <row r="347" spans="1:8" ht="25.5">
      <c r="A347" s="82" t="s">
        <v>96</v>
      </c>
      <c r="B347" s="82" t="s">
        <v>94</v>
      </c>
      <c r="C347" s="21" t="s">
        <v>548</v>
      </c>
      <c r="D347" s="16"/>
      <c r="E347" s="98" t="s">
        <v>377</v>
      </c>
      <c r="F347" s="41">
        <f>F348</f>
        <v>0</v>
      </c>
      <c r="G347" s="41">
        <f>G348</f>
        <v>250</v>
      </c>
      <c r="H347" s="41">
        <f>H348</f>
        <v>250</v>
      </c>
    </row>
    <row r="348" spans="1:8" ht="38.25">
      <c r="A348" s="82" t="s">
        <v>96</v>
      </c>
      <c r="B348" s="82" t="s">
        <v>94</v>
      </c>
      <c r="C348" s="21" t="s">
        <v>548</v>
      </c>
      <c r="D348" s="82" t="s">
        <v>212</v>
      </c>
      <c r="E348" s="98" t="s">
        <v>213</v>
      </c>
      <c r="F348" s="41">
        <v>0</v>
      </c>
      <c r="G348" s="41">
        <v>250</v>
      </c>
      <c r="H348" s="41">
        <v>250</v>
      </c>
    </row>
    <row r="349" spans="1:8" ht="51">
      <c r="A349" s="82" t="s">
        <v>96</v>
      </c>
      <c r="B349" s="82" t="s">
        <v>94</v>
      </c>
      <c r="C349" s="21" t="s">
        <v>550</v>
      </c>
      <c r="D349" s="82"/>
      <c r="E349" s="98" t="s">
        <v>549</v>
      </c>
      <c r="F349" s="41">
        <f>F350</f>
        <v>0</v>
      </c>
      <c r="G349" s="41">
        <f t="shared" ref="G349:H349" si="58">G350</f>
        <v>15</v>
      </c>
      <c r="H349" s="41">
        <f t="shared" si="58"/>
        <v>15</v>
      </c>
    </row>
    <row r="350" spans="1:8" ht="38.25">
      <c r="A350" s="82" t="s">
        <v>96</v>
      </c>
      <c r="B350" s="82" t="s">
        <v>94</v>
      </c>
      <c r="C350" s="21" t="s">
        <v>550</v>
      </c>
      <c r="D350" s="82" t="s">
        <v>212</v>
      </c>
      <c r="E350" s="98" t="s">
        <v>213</v>
      </c>
      <c r="F350" s="41">
        <f>15-15</f>
        <v>0</v>
      </c>
      <c r="G350" s="41">
        <v>15</v>
      </c>
      <c r="H350" s="41">
        <v>15</v>
      </c>
    </row>
    <row r="351" spans="1:8" ht="38.25">
      <c r="A351" s="82" t="s">
        <v>96</v>
      </c>
      <c r="B351" s="82" t="s">
        <v>94</v>
      </c>
      <c r="C351" s="21" t="s">
        <v>657</v>
      </c>
      <c r="D351" s="16"/>
      <c r="E351" s="99" t="s">
        <v>658</v>
      </c>
      <c r="F351" s="41">
        <f>F352</f>
        <v>962.9</v>
      </c>
      <c r="G351" s="41">
        <f t="shared" ref="G351:H351" si="59">G352</f>
        <v>0</v>
      </c>
      <c r="H351" s="41">
        <f t="shared" si="59"/>
        <v>0</v>
      </c>
    </row>
    <row r="352" spans="1:8" ht="38.25">
      <c r="A352" s="16" t="s">
        <v>96</v>
      </c>
      <c r="B352" s="16" t="s">
        <v>94</v>
      </c>
      <c r="C352" s="21" t="s">
        <v>657</v>
      </c>
      <c r="D352" s="82" t="s">
        <v>212</v>
      </c>
      <c r="E352" s="98" t="s">
        <v>213</v>
      </c>
      <c r="F352" s="41">
        <f>799.5+163.4</f>
        <v>962.9</v>
      </c>
      <c r="G352" s="41">
        <v>0</v>
      </c>
      <c r="H352" s="41">
        <v>0</v>
      </c>
    </row>
    <row r="353" spans="1:8" ht="51">
      <c r="A353" s="82" t="s">
        <v>96</v>
      </c>
      <c r="B353" s="82" t="s">
        <v>94</v>
      </c>
      <c r="C353" s="21" t="s">
        <v>558</v>
      </c>
      <c r="D353" s="82"/>
      <c r="E353" s="98" t="s">
        <v>559</v>
      </c>
      <c r="F353" s="41">
        <f>F354</f>
        <v>0</v>
      </c>
      <c r="G353" s="41">
        <f t="shared" ref="G353:H353" si="60">G354</f>
        <v>10</v>
      </c>
      <c r="H353" s="41">
        <f t="shared" si="60"/>
        <v>10</v>
      </c>
    </row>
    <row r="354" spans="1:8" ht="38.25">
      <c r="A354" s="16" t="s">
        <v>96</v>
      </c>
      <c r="B354" s="16" t="s">
        <v>94</v>
      </c>
      <c r="C354" s="21" t="s">
        <v>558</v>
      </c>
      <c r="D354" s="82" t="s">
        <v>212</v>
      </c>
      <c r="E354" s="98" t="s">
        <v>213</v>
      </c>
      <c r="F354" s="41">
        <v>0</v>
      </c>
      <c r="G354" s="41">
        <v>10</v>
      </c>
      <c r="H354" s="41">
        <v>10</v>
      </c>
    </row>
    <row r="355" spans="1:8" ht="38.25">
      <c r="A355" s="16" t="s">
        <v>96</v>
      </c>
      <c r="B355" s="16" t="s">
        <v>94</v>
      </c>
      <c r="C355" s="21" t="s">
        <v>554</v>
      </c>
      <c r="D355" s="82"/>
      <c r="E355" s="98" t="s">
        <v>557</v>
      </c>
      <c r="F355" s="41">
        <f t="shared" ref="F355:H355" si="61">F356</f>
        <v>9200</v>
      </c>
      <c r="G355" s="41">
        <f t="shared" si="61"/>
        <v>3800</v>
      </c>
      <c r="H355" s="41">
        <f t="shared" si="61"/>
        <v>3800</v>
      </c>
    </row>
    <row r="356" spans="1:8" ht="38.25">
      <c r="A356" s="16" t="s">
        <v>96</v>
      </c>
      <c r="B356" s="16" t="s">
        <v>94</v>
      </c>
      <c r="C356" s="21" t="s">
        <v>554</v>
      </c>
      <c r="D356" s="82" t="s">
        <v>212</v>
      </c>
      <c r="E356" s="98" t="s">
        <v>213</v>
      </c>
      <c r="F356" s="41">
        <v>9200</v>
      </c>
      <c r="G356" s="41">
        <v>3800</v>
      </c>
      <c r="H356" s="41">
        <v>3800</v>
      </c>
    </row>
    <row r="357" spans="1:8" ht="25.5">
      <c r="A357" s="16" t="s">
        <v>96</v>
      </c>
      <c r="B357" s="16" t="s">
        <v>94</v>
      </c>
      <c r="C357" s="21" t="s">
        <v>555</v>
      </c>
      <c r="D357" s="82"/>
      <c r="E357" s="98" t="s">
        <v>556</v>
      </c>
      <c r="F357" s="41">
        <f>F358</f>
        <v>3005.6</v>
      </c>
      <c r="G357" s="41">
        <f t="shared" ref="G357:H357" si="62">G358</f>
        <v>1050</v>
      </c>
      <c r="H357" s="41">
        <f t="shared" si="62"/>
        <v>1050</v>
      </c>
    </row>
    <row r="358" spans="1:8" ht="38.25">
      <c r="A358" s="16" t="s">
        <v>96</v>
      </c>
      <c r="B358" s="16" t="s">
        <v>94</v>
      </c>
      <c r="C358" s="21" t="s">
        <v>555</v>
      </c>
      <c r="D358" s="82" t="s">
        <v>212</v>
      </c>
      <c r="E358" s="98" t="s">
        <v>213</v>
      </c>
      <c r="F358" s="41">
        <f>3256.7-251.1</f>
        <v>3005.6</v>
      </c>
      <c r="G358" s="41">
        <v>1050</v>
      </c>
      <c r="H358" s="41">
        <v>1050</v>
      </c>
    </row>
    <row r="359" spans="1:8" ht="89.25">
      <c r="A359" s="5" t="s">
        <v>96</v>
      </c>
      <c r="B359" s="5" t="s">
        <v>94</v>
      </c>
      <c r="C359" s="76">
        <v>1400000000</v>
      </c>
      <c r="D359" s="16"/>
      <c r="E359" s="142" t="s">
        <v>625</v>
      </c>
      <c r="F359" s="96">
        <f>F360</f>
        <v>18211.099999999999</v>
      </c>
      <c r="G359" s="96">
        <f>G360</f>
        <v>17256.900000000001</v>
      </c>
      <c r="H359" s="96">
        <f>H360</f>
        <v>0</v>
      </c>
    </row>
    <row r="360" spans="1:8" ht="89.25">
      <c r="A360" s="47" t="s">
        <v>96</v>
      </c>
      <c r="B360" s="47" t="s">
        <v>94</v>
      </c>
      <c r="C360" s="75">
        <v>1410000000</v>
      </c>
      <c r="D360" s="16"/>
      <c r="E360" s="48" t="s">
        <v>217</v>
      </c>
      <c r="F360" s="93">
        <f>F361+F363+F365</f>
        <v>18211.099999999999</v>
      </c>
      <c r="G360" s="93">
        <f t="shared" ref="G360:H360" si="63">G361+G363+G365</f>
        <v>17256.900000000001</v>
      </c>
      <c r="H360" s="93">
        <f t="shared" si="63"/>
        <v>0</v>
      </c>
    </row>
    <row r="361" spans="1:8" ht="38.25">
      <c r="A361" s="82" t="s">
        <v>96</v>
      </c>
      <c r="B361" s="82" t="s">
        <v>94</v>
      </c>
      <c r="C361" s="74">
        <v>1410223125</v>
      </c>
      <c r="D361" s="82"/>
      <c r="E361" s="98" t="s">
        <v>712</v>
      </c>
      <c r="F361" s="41">
        <f>F362</f>
        <v>1289.7</v>
      </c>
      <c r="G361" s="41">
        <f>G362</f>
        <v>554.70000000000005</v>
      </c>
      <c r="H361" s="41">
        <f>H362</f>
        <v>0</v>
      </c>
    </row>
    <row r="362" spans="1:8" ht="38.25">
      <c r="A362" s="82" t="s">
        <v>96</v>
      </c>
      <c r="B362" s="82" t="s">
        <v>94</v>
      </c>
      <c r="C362" s="74">
        <v>1410223125</v>
      </c>
      <c r="D362" s="82" t="s">
        <v>212</v>
      </c>
      <c r="E362" s="98" t="s">
        <v>213</v>
      </c>
      <c r="F362" s="41">
        <f>1237.5+58.2-6</f>
        <v>1289.7</v>
      </c>
      <c r="G362" s="41">
        <v>554.70000000000005</v>
      </c>
      <c r="H362" s="41">
        <v>0</v>
      </c>
    </row>
    <row r="363" spans="1:8" ht="25.5">
      <c r="A363" s="82" t="s">
        <v>96</v>
      </c>
      <c r="B363" s="82" t="s">
        <v>94</v>
      </c>
      <c r="C363" s="74">
        <v>1410223130</v>
      </c>
      <c r="D363" s="82"/>
      <c r="E363" s="108" t="s">
        <v>715</v>
      </c>
      <c r="F363" s="41">
        <f>F364</f>
        <v>7279.8</v>
      </c>
      <c r="G363" s="41">
        <f t="shared" ref="G363:H363" si="64">G364</f>
        <v>4918.3</v>
      </c>
      <c r="H363" s="41">
        <f t="shared" si="64"/>
        <v>0</v>
      </c>
    </row>
    <row r="364" spans="1:8" ht="38.25">
      <c r="A364" s="82" t="s">
        <v>96</v>
      </c>
      <c r="B364" s="82" t="s">
        <v>94</v>
      </c>
      <c r="C364" s="74">
        <v>1410223130</v>
      </c>
      <c r="D364" s="82" t="s">
        <v>212</v>
      </c>
      <c r="E364" s="98" t="s">
        <v>213</v>
      </c>
      <c r="F364" s="39">
        <f>12198.1-4918.3</f>
        <v>7279.8</v>
      </c>
      <c r="G364" s="41">
        <v>4918.3</v>
      </c>
      <c r="H364" s="41">
        <v>0</v>
      </c>
    </row>
    <row r="365" spans="1:8" ht="38.25">
      <c r="A365" s="16" t="s">
        <v>96</v>
      </c>
      <c r="B365" s="16" t="s">
        <v>94</v>
      </c>
      <c r="C365" s="74" t="s">
        <v>356</v>
      </c>
      <c r="D365" s="16"/>
      <c r="E365" s="98" t="s">
        <v>322</v>
      </c>
      <c r="F365" s="41">
        <f>F366</f>
        <v>9641.6</v>
      </c>
      <c r="G365" s="41">
        <f>G366</f>
        <v>11783.900000000001</v>
      </c>
      <c r="H365" s="41">
        <f>H366</f>
        <v>0</v>
      </c>
    </row>
    <row r="366" spans="1:8" ht="38.25">
      <c r="A366" s="82" t="s">
        <v>96</v>
      </c>
      <c r="B366" s="16" t="s">
        <v>94</v>
      </c>
      <c r="C366" s="74" t="s">
        <v>356</v>
      </c>
      <c r="D366" s="82" t="s">
        <v>212</v>
      </c>
      <c r="E366" s="98" t="s">
        <v>213</v>
      </c>
      <c r="F366" s="41">
        <f>717.4+8924.2</f>
        <v>9641.6</v>
      </c>
      <c r="G366" s="41">
        <f>717.4-554.7+11621.2</f>
        <v>11783.900000000001</v>
      </c>
      <c r="H366" s="41">
        <v>0</v>
      </c>
    </row>
    <row r="367" spans="1:8" ht="127.5">
      <c r="A367" s="5" t="s">
        <v>96</v>
      </c>
      <c r="B367" s="5" t="s">
        <v>94</v>
      </c>
      <c r="C367" s="73" t="s">
        <v>575</v>
      </c>
      <c r="D367" s="82"/>
      <c r="E367" s="142" t="s">
        <v>626</v>
      </c>
      <c r="F367" s="96">
        <f>F368</f>
        <v>2681.9</v>
      </c>
      <c r="G367" s="96">
        <f t="shared" ref="G367:H367" si="65">G368</f>
        <v>1256.3</v>
      </c>
      <c r="H367" s="96">
        <f t="shared" si="65"/>
        <v>1000</v>
      </c>
    </row>
    <row r="368" spans="1:8" ht="63.75">
      <c r="A368" s="47" t="s">
        <v>96</v>
      </c>
      <c r="B368" s="47" t="s">
        <v>94</v>
      </c>
      <c r="C368" s="141">
        <v>1510000000</v>
      </c>
      <c r="D368" s="82"/>
      <c r="E368" s="48" t="s">
        <v>368</v>
      </c>
      <c r="F368" s="41">
        <f>F369+F371+F373+F375+F377+F379</f>
        <v>2681.9</v>
      </c>
      <c r="G368" s="41">
        <f t="shared" ref="G368:H368" si="66">G369+G371+G373+G375</f>
        <v>1256.3</v>
      </c>
      <c r="H368" s="41">
        <f t="shared" si="66"/>
        <v>1000</v>
      </c>
    </row>
    <row r="369" spans="1:10" ht="63.75">
      <c r="A369" s="82" t="s">
        <v>96</v>
      </c>
      <c r="B369" s="16" t="s">
        <v>94</v>
      </c>
      <c r="C369" s="130" t="s">
        <v>579</v>
      </c>
      <c r="D369" s="82"/>
      <c r="E369" s="98" t="s">
        <v>576</v>
      </c>
      <c r="F369" s="41">
        <f>F370</f>
        <v>0</v>
      </c>
      <c r="G369" s="41">
        <f>G370</f>
        <v>1256.3</v>
      </c>
      <c r="H369" s="41">
        <f>H370</f>
        <v>1000</v>
      </c>
    </row>
    <row r="370" spans="1:10" ht="38.25">
      <c r="A370" s="82" t="s">
        <v>96</v>
      </c>
      <c r="B370" s="16" t="s">
        <v>94</v>
      </c>
      <c r="C370" s="130" t="s">
        <v>579</v>
      </c>
      <c r="D370" s="82" t="s">
        <v>212</v>
      </c>
      <c r="E370" s="98" t="s">
        <v>213</v>
      </c>
      <c r="F370" s="41">
        <f>3243.5-516-2727.5</f>
        <v>0</v>
      </c>
      <c r="G370" s="41">
        <v>1256.3</v>
      </c>
      <c r="H370" s="41">
        <v>1000</v>
      </c>
    </row>
    <row r="371" spans="1:10" ht="63.75">
      <c r="A371" s="82" t="s">
        <v>96</v>
      </c>
      <c r="B371" s="16" t="s">
        <v>94</v>
      </c>
      <c r="C371" s="130" t="s">
        <v>736</v>
      </c>
      <c r="D371" s="82"/>
      <c r="E371" s="164" t="s">
        <v>711</v>
      </c>
      <c r="F371" s="41">
        <f>F372</f>
        <v>516</v>
      </c>
      <c r="G371" s="41">
        <f t="shared" ref="G371" si="67">G372</f>
        <v>0</v>
      </c>
      <c r="H371" s="41">
        <f t="shared" ref="H371" si="68">H372</f>
        <v>0</v>
      </c>
    </row>
    <row r="372" spans="1:10" ht="38.25">
      <c r="A372" s="82" t="s">
        <v>96</v>
      </c>
      <c r="B372" s="16" t="s">
        <v>94</v>
      </c>
      <c r="C372" s="130" t="s">
        <v>736</v>
      </c>
      <c r="D372" s="82" t="s">
        <v>212</v>
      </c>
      <c r="E372" s="98" t="s">
        <v>213</v>
      </c>
      <c r="F372" s="41">
        <v>516</v>
      </c>
      <c r="G372" s="41">
        <v>0</v>
      </c>
      <c r="H372" s="41">
        <v>0</v>
      </c>
      <c r="J372" s="103"/>
    </row>
    <row r="373" spans="1:10" ht="63.75">
      <c r="A373" s="82" t="s">
        <v>96</v>
      </c>
      <c r="B373" s="16" t="s">
        <v>94</v>
      </c>
      <c r="C373" s="130">
        <v>1510319022</v>
      </c>
      <c r="D373" s="82"/>
      <c r="E373" s="164" t="s">
        <v>711</v>
      </c>
      <c r="F373" s="41">
        <f>F374</f>
        <v>525.9</v>
      </c>
      <c r="G373" s="41">
        <f t="shared" ref="G373" si="69">G374</f>
        <v>0</v>
      </c>
      <c r="H373" s="41">
        <f t="shared" ref="H373" si="70">H374</f>
        <v>0</v>
      </c>
    </row>
    <row r="374" spans="1:10" ht="38.25">
      <c r="A374" s="82" t="s">
        <v>96</v>
      </c>
      <c r="B374" s="16" t="s">
        <v>94</v>
      </c>
      <c r="C374" s="130">
        <v>1510319022</v>
      </c>
      <c r="D374" s="82" t="s">
        <v>212</v>
      </c>
      <c r="E374" s="98" t="s">
        <v>213</v>
      </c>
      <c r="F374" s="41">
        <v>525.9</v>
      </c>
      <c r="G374" s="41">
        <v>0</v>
      </c>
      <c r="H374" s="41">
        <v>0</v>
      </c>
    </row>
    <row r="375" spans="1:10" ht="63.75">
      <c r="A375" s="82" t="s">
        <v>96</v>
      </c>
      <c r="B375" s="16" t="s">
        <v>94</v>
      </c>
      <c r="C375" s="130">
        <v>1510319322</v>
      </c>
      <c r="D375" s="82"/>
      <c r="E375" s="164" t="s">
        <v>711</v>
      </c>
      <c r="F375" s="41">
        <f>F376</f>
        <v>10</v>
      </c>
      <c r="G375" s="41">
        <f t="shared" ref="G375" si="71">G376</f>
        <v>0</v>
      </c>
      <c r="H375" s="41">
        <f t="shared" ref="H375" si="72">H376</f>
        <v>0</v>
      </c>
    </row>
    <row r="376" spans="1:10" ht="38.25">
      <c r="A376" s="82" t="s">
        <v>96</v>
      </c>
      <c r="B376" s="16" t="s">
        <v>94</v>
      </c>
      <c r="C376" s="130">
        <v>1510319322</v>
      </c>
      <c r="D376" s="82" t="s">
        <v>212</v>
      </c>
      <c r="E376" s="98" t="s">
        <v>213</v>
      </c>
      <c r="F376" s="41">
        <v>10</v>
      </c>
      <c r="G376" s="41">
        <v>0</v>
      </c>
      <c r="H376" s="41">
        <v>0</v>
      </c>
    </row>
    <row r="377" spans="1:10" ht="63.75">
      <c r="A377" s="82" t="s">
        <v>96</v>
      </c>
      <c r="B377" s="16" t="s">
        <v>94</v>
      </c>
      <c r="C377" s="130" t="s">
        <v>757</v>
      </c>
      <c r="D377" s="82"/>
      <c r="E377" s="98" t="s">
        <v>756</v>
      </c>
      <c r="F377" s="41">
        <f>F378</f>
        <v>479.6</v>
      </c>
      <c r="G377" s="41">
        <f t="shared" ref="G377:H377" si="73">G378</f>
        <v>0</v>
      </c>
      <c r="H377" s="41">
        <f t="shared" si="73"/>
        <v>0</v>
      </c>
    </row>
    <row r="378" spans="1:10" ht="38.25">
      <c r="A378" s="82" t="s">
        <v>96</v>
      </c>
      <c r="B378" s="16" t="s">
        <v>94</v>
      </c>
      <c r="C378" s="130" t="s">
        <v>757</v>
      </c>
      <c r="D378" s="82" t="s">
        <v>212</v>
      </c>
      <c r="E378" s="98" t="s">
        <v>213</v>
      </c>
      <c r="F378" s="41">
        <v>479.6</v>
      </c>
      <c r="G378" s="41">
        <v>0</v>
      </c>
      <c r="H378" s="41">
        <v>0</v>
      </c>
    </row>
    <row r="379" spans="1:10" ht="63.75">
      <c r="A379" s="82" t="s">
        <v>96</v>
      </c>
      <c r="B379" s="16" t="s">
        <v>94</v>
      </c>
      <c r="C379" s="130">
        <v>1510319023</v>
      </c>
      <c r="D379" s="82"/>
      <c r="E379" s="98" t="s">
        <v>756</v>
      </c>
      <c r="F379" s="41">
        <f>F380</f>
        <v>1150.4000000000001</v>
      </c>
      <c r="G379" s="41">
        <f t="shared" ref="G379:H379" si="74">G380</f>
        <v>0</v>
      </c>
      <c r="H379" s="41">
        <f t="shared" si="74"/>
        <v>0</v>
      </c>
    </row>
    <row r="380" spans="1:10" ht="38.25">
      <c r="A380" s="82" t="s">
        <v>96</v>
      </c>
      <c r="B380" s="16" t="s">
        <v>94</v>
      </c>
      <c r="C380" s="130">
        <v>1510319023</v>
      </c>
      <c r="D380" s="82" t="s">
        <v>212</v>
      </c>
      <c r="E380" s="98" t="s">
        <v>213</v>
      </c>
      <c r="F380" s="41">
        <f>1230.4-80</f>
        <v>1150.4000000000001</v>
      </c>
      <c r="G380" s="41">
        <v>0</v>
      </c>
      <c r="H380" s="41">
        <v>0</v>
      </c>
    </row>
    <row r="381" spans="1:10" ht="42.75">
      <c r="A381" s="30" t="s">
        <v>96</v>
      </c>
      <c r="B381" s="30" t="s">
        <v>96</v>
      </c>
      <c r="C381" s="30"/>
      <c r="D381" s="30"/>
      <c r="E381" s="50" t="s">
        <v>496</v>
      </c>
      <c r="F381" s="93">
        <f>F382</f>
        <v>1564.1</v>
      </c>
      <c r="G381" s="93">
        <f t="shared" ref="G381:H381" si="75">G382</f>
        <v>1180.9000000000001</v>
      </c>
      <c r="H381" s="93">
        <f t="shared" si="75"/>
        <v>1180.9000000000001</v>
      </c>
    </row>
    <row r="382" spans="1:10" ht="63.75">
      <c r="A382" s="5" t="s">
        <v>96</v>
      </c>
      <c r="B382" s="5" t="s">
        <v>96</v>
      </c>
      <c r="C382" s="76">
        <v>400000000</v>
      </c>
      <c r="D382" s="31"/>
      <c r="E382" s="64" t="s">
        <v>386</v>
      </c>
      <c r="F382" s="96">
        <f>F383</f>
        <v>1564.1</v>
      </c>
      <c r="G382" s="96">
        <f t="shared" ref="G382:H382" si="76">G383</f>
        <v>1180.9000000000001</v>
      </c>
      <c r="H382" s="96">
        <f t="shared" si="76"/>
        <v>1180.9000000000001</v>
      </c>
    </row>
    <row r="383" spans="1:10" ht="140.25">
      <c r="A383" s="82" t="s">
        <v>96</v>
      </c>
      <c r="B383" s="82" t="s">
        <v>96</v>
      </c>
      <c r="C383" s="75">
        <v>430000000</v>
      </c>
      <c r="D383" s="16"/>
      <c r="E383" s="46" t="s">
        <v>495</v>
      </c>
      <c r="F383" s="39">
        <f>F384+F386</f>
        <v>1564.1</v>
      </c>
      <c r="G383" s="39">
        <f t="shared" ref="G383:H383" si="77">G384+G386</f>
        <v>1180.9000000000001</v>
      </c>
      <c r="H383" s="39">
        <f t="shared" si="77"/>
        <v>1180.9000000000001</v>
      </c>
    </row>
    <row r="384" spans="1:10" ht="114.75">
      <c r="A384" s="82" t="s">
        <v>96</v>
      </c>
      <c r="B384" s="82" t="s">
        <v>96</v>
      </c>
      <c r="C384" s="79">
        <v>430127310</v>
      </c>
      <c r="D384" s="16"/>
      <c r="E384" s="98" t="s">
        <v>633</v>
      </c>
      <c r="F384" s="41">
        <f>F385</f>
        <v>1418.5</v>
      </c>
      <c r="G384" s="41">
        <f>G385</f>
        <v>1000</v>
      </c>
      <c r="H384" s="41">
        <f>H385</f>
        <v>1000</v>
      </c>
    </row>
    <row r="385" spans="1:8" ht="63.75">
      <c r="A385" s="82" t="s">
        <v>96</v>
      </c>
      <c r="B385" s="82" t="s">
        <v>96</v>
      </c>
      <c r="C385" s="79">
        <v>430127310</v>
      </c>
      <c r="D385" s="16" t="s">
        <v>12</v>
      </c>
      <c r="E385" s="98" t="s">
        <v>324</v>
      </c>
      <c r="F385" s="41">
        <f>1000+339+79.5</f>
        <v>1418.5</v>
      </c>
      <c r="G385" s="41">
        <v>1000</v>
      </c>
      <c r="H385" s="41">
        <v>1000</v>
      </c>
    </row>
    <row r="386" spans="1:8" ht="114.75">
      <c r="A386" s="82" t="s">
        <v>96</v>
      </c>
      <c r="B386" s="82" t="s">
        <v>96</v>
      </c>
      <c r="C386" s="79">
        <v>430127320</v>
      </c>
      <c r="D386" s="16"/>
      <c r="E386" s="98" t="s">
        <v>497</v>
      </c>
      <c r="F386" s="41">
        <f>F387</f>
        <v>145.60000000000002</v>
      </c>
      <c r="G386" s="41">
        <f t="shared" ref="G386:H386" si="78">G387</f>
        <v>180.9</v>
      </c>
      <c r="H386" s="41">
        <f t="shared" si="78"/>
        <v>180.9</v>
      </c>
    </row>
    <row r="387" spans="1:8" ht="63.75">
      <c r="A387" s="82" t="s">
        <v>96</v>
      </c>
      <c r="B387" s="82" t="s">
        <v>96</v>
      </c>
      <c r="C387" s="79">
        <v>430127320</v>
      </c>
      <c r="D387" s="16" t="s">
        <v>12</v>
      </c>
      <c r="E387" s="98" t="s">
        <v>324</v>
      </c>
      <c r="F387" s="41">
        <f>180.9-35.3</f>
        <v>145.60000000000002</v>
      </c>
      <c r="G387" s="41">
        <v>180.9</v>
      </c>
      <c r="H387" s="41">
        <v>180.9</v>
      </c>
    </row>
    <row r="388" spans="1:8" ht="15.75">
      <c r="A388" s="4" t="s">
        <v>105</v>
      </c>
      <c r="B388" s="3"/>
      <c r="C388" s="3"/>
      <c r="D388" s="3"/>
      <c r="E388" s="10" t="s">
        <v>106</v>
      </c>
      <c r="F388" s="92">
        <f>F389+F404+F444+F485+F490+F517</f>
        <v>658360.20000000007</v>
      </c>
      <c r="G388" s="92">
        <f>G389+G404+G444+G485+G490+G517</f>
        <v>622762</v>
      </c>
      <c r="H388" s="92">
        <f>H389+H404+H444+H485+H490+H517</f>
        <v>612597.6</v>
      </c>
    </row>
    <row r="389" spans="1:8" s="37" customFormat="1" ht="14.25">
      <c r="A389" s="35" t="s">
        <v>105</v>
      </c>
      <c r="B389" s="35" t="s">
        <v>89</v>
      </c>
      <c r="C389" s="35"/>
      <c r="D389" s="35"/>
      <c r="E389" s="45" t="s">
        <v>108</v>
      </c>
      <c r="F389" s="58">
        <f>F390</f>
        <v>166434.59999999998</v>
      </c>
      <c r="G389" s="58">
        <f t="shared" ref="G389:H389" si="79">G390</f>
        <v>159972.80000000002</v>
      </c>
      <c r="H389" s="58">
        <f t="shared" si="79"/>
        <v>159595.70000000001</v>
      </c>
    </row>
    <row r="390" spans="1:8" ht="76.5">
      <c r="A390" s="16" t="s">
        <v>105</v>
      </c>
      <c r="B390" s="16" t="s">
        <v>89</v>
      </c>
      <c r="C390" s="21" t="s">
        <v>74</v>
      </c>
      <c r="D390" s="35"/>
      <c r="E390" s="64" t="s">
        <v>610</v>
      </c>
      <c r="F390" s="62">
        <f t="shared" ref="F390:H390" si="80">F391</f>
        <v>166434.59999999998</v>
      </c>
      <c r="G390" s="62">
        <f t="shared" si="80"/>
        <v>159972.80000000002</v>
      </c>
      <c r="H390" s="62">
        <f t="shared" si="80"/>
        <v>159595.70000000001</v>
      </c>
    </row>
    <row r="391" spans="1:8" ht="25.5">
      <c r="A391" s="16" t="s">
        <v>105</v>
      </c>
      <c r="B391" s="16" t="s">
        <v>89</v>
      </c>
      <c r="C391" s="52" t="s">
        <v>75</v>
      </c>
      <c r="D391" s="35"/>
      <c r="E391" s="46" t="s">
        <v>400</v>
      </c>
      <c r="F391" s="94">
        <f>F392+F394+F400+F402+F396+F398</f>
        <v>166434.59999999998</v>
      </c>
      <c r="G391" s="94">
        <f t="shared" ref="G391:H391" si="81">G392+G394+G400+G402+G396+G398</f>
        <v>159972.80000000002</v>
      </c>
      <c r="H391" s="94">
        <f t="shared" si="81"/>
        <v>159595.70000000001</v>
      </c>
    </row>
    <row r="392" spans="1:8" ht="54.75" customHeight="1">
      <c r="A392" s="56" t="s">
        <v>105</v>
      </c>
      <c r="B392" s="56" t="s">
        <v>89</v>
      </c>
      <c r="C392" s="21" t="s">
        <v>390</v>
      </c>
      <c r="D392" s="21"/>
      <c r="E392" s="98" t="s">
        <v>389</v>
      </c>
      <c r="F392" s="94">
        <f>F393</f>
        <v>94366.399999999994</v>
      </c>
      <c r="G392" s="94">
        <f t="shared" ref="G392:H392" si="82">G393</f>
        <v>88408.6</v>
      </c>
      <c r="H392" s="94">
        <f t="shared" si="82"/>
        <v>88408.6</v>
      </c>
    </row>
    <row r="393" spans="1:8">
      <c r="A393" s="56" t="s">
        <v>105</v>
      </c>
      <c r="B393" s="56" t="s">
        <v>89</v>
      </c>
      <c r="C393" s="21" t="s">
        <v>390</v>
      </c>
      <c r="D393" s="21" t="s">
        <v>226</v>
      </c>
      <c r="E393" s="98" t="s">
        <v>225</v>
      </c>
      <c r="F393" s="1">
        <f>88408.6+2099.9+3857.9</f>
        <v>94366.399999999994</v>
      </c>
      <c r="G393" s="1">
        <v>88408.6</v>
      </c>
      <c r="H393" s="1">
        <v>88408.6</v>
      </c>
    </row>
    <row r="394" spans="1:8" ht="76.5">
      <c r="A394" s="56" t="s">
        <v>105</v>
      </c>
      <c r="B394" s="56" t="s">
        <v>89</v>
      </c>
      <c r="C394" s="132" t="s">
        <v>392</v>
      </c>
      <c r="D394" s="21"/>
      <c r="E394" s="98" t="s">
        <v>391</v>
      </c>
      <c r="F394" s="94">
        <f>F395</f>
        <v>70711.999999999985</v>
      </c>
      <c r="G394" s="94">
        <f t="shared" ref="G394:H394" si="83">G395</f>
        <v>71187.099999999991</v>
      </c>
      <c r="H394" s="94">
        <f t="shared" si="83"/>
        <v>71187.099999999991</v>
      </c>
    </row>
    <row r="395" spans="1:8" ht="15">
      <c r="A395" s="56" t="s">
        <v>105</v>
      </c>
      <c r="B395" s="56" t="s">
        <v>89</v>
      </c>
      <c r="C395" s="132" t="s">
        <v>392</v>
      </c>
      <c r="D395" s="21" t="s">
        <v>226</v>
      </c>
      <c r="E395" s="98" t="s">
        <v>225</v>
      </c>
      <c r="F395" s="94">
        <f>68790.2+2396.9-466.6-8.5</f>
        <v>70711.999999999985</v>
      </c>
      <c r="G395" s="94">
        <f>68790.2+2396.9</f>
        <v>71187.099999999991</v>
      </c>
      <c r="H395" s="94">
        <f>68790.2+2396.9</f>
        <v>71187.099999999991</v>
      </c>
    </row>
    <row r="396" spans="1:8" ht="63.75">
      <c r="A396" s="56" t="s">
        <v>105</v>
      </c>
      <c r="B396" s="56" t="s">
        <v>89</v>
      </c>
      <c r="C396" s="168" t="s">
        <v>767</v>
      </c>
      <c r="D396" s="21"/>
      <c r="E396" s="98" t="s">
        <v>768</v>
      </c>
      <c r="F396" s="94">
        <f>F397</f>
        <v>845</v>
      </c>
      <c r="G396" s="94">
        <f t="shared" ref="G396:H396" si="84">G397</f>
        <v>0</v>
      </c>
      <c r="H396" s="94">
        <f t="shared" si="84"/>
        <v>0</v>
      </c>
    </row>
    <row r="397" spans="1:8" ht="15">
      <c r="A397" s="56" t="s">
        <v>105</v>
      </c>
      <c r="B397" s="56" t="s">
        <v>89</v>
      </c>
      <c r="C397" s="169" t="s">
        <v>767</v>
      </c>
      <c r="D397" s="21" t="s">
        <v>226</v>
      </c>
      <c r="E397" s="98" t="s">
        <v>225</v>
      </c>
      <c r="F397" s="39">
        <v>845</v>
      </c>
      <c r="G397" s="39">
        <v>0</v>
      </c>
      <c r="H397" s="39">
        <v>0</v>
      </c>
    </row>
    <row r="398" spans="1:8" ht="77.25">
      <c r="A398" s="56" t="s">
        <v>105</v>
      </c>
      <c r="B398" s="56" t="s">
        <v>89</v>
      </c>
      <c r="C398" s="168" t="s">
        <v>769</v>
      </c>
      <c r="D398" s="21"/>
      <c r="E398" s="108" t="s">
        <v>770</v>
      </c>
      <c r="F398" s="94">
        <f>F399</f>
        <v>8.5</v>
      </c>
      <c r="G398" s="94">
        <f t="shared" ref="G398:H398" si="85">G399</f>
        <v>0</v>
      </c>
      <c r="H398" s="94">
        <f t="shared" si="85"/>
        <v>0</v>
      </c>
    </row>
    <row r="399" spans="1:8" ht="15">
      <c r="A399" s="56" t="s">
        <v>105</v>
      </c>
      <c r="B399" s="56" t="s">
        <v>89</v>
      </c>
      <c r="C399" s="168" t="s">
        <v>769</v>
      </c>
      <c r="D399" s="21" t="s">
        <v>226</v>
      </c>
      <c r="E399" s="98" t="s">
        <v>225</v>
      </c>
      <c r="F399" s="1">
        <v>8.5</v>
      </c>
      <c r="G399" s="94">
        <v>0</v>
      </c>
      <c r="H399" s="94">
        <v>0</v>
      </c>
    </row>
    <row r="400" spans="1:8" ht="49.5" customHeight="1">
      <c r="A400" s="56" t="s">
        <v>105</v>
      </c>
      <c r="B400" s="56" t="s">
        <v>89</v>
      </c>
      <c r="C400" s="21" t="s">
        <v>395</v>
      </c>
      <c r="D400" s="57"/>
      <c r="E400" s="97" t="s">
        <v>394</v>
      </c>
      <c r="F400" s="94">
        <f>F401</f>
        <v>502.70000000000005</v>
      </c>
      <c r="G400" s="94">
        <f t="shared" ref="G400:H400" si="86">G401</f>
        <v>227.1</v>
      </c>
      <c r="H400" s="94">
        <f t="shared" si="86"/>
        <v>0</v>
      </c>
    </row>
    <row r="401" spans="1:8">
      <c r="A401" s="56" t="s">
        <v>105</v>
      </c>
      <c r="B401" s="56" t="s">
        <v>89</v>
      </c>
      <c r="C401" s="21" t="s">
        <v>395</v>
      </c>
      <c r="D401" s="21" t="s">
        <v>226</v>
      </c>
      <c r="E401" s="98" t="s">
        <v>225</v>
      </c>
      <c r="F401" s="94">
        <f>227.1+275.6</f>
        <v>502.70000000000005</v>
      </c>
      <c r="G401" s="94">
        <v>227.1</v>
      </c>
      <c r="H401" s="94">
        <v>0</v>
      </c>
    </row>
    <row r="402" spans="1:8" ht="63.75">
      <c r="A402" s="56" t="s">
        <v>105</v>
      </c>
      <c r="B402" s="56" t="s">
        <v>89</v>
      </c>
      <c r="C402" s="57" t="s">
        <v>396</v>
      </c>
      <c r="D402" s="21"/>
      <c r="E402" s="98" t="s">
        <v>379</v>
      </c>
      <c r="F402" s="94">
        <f>F403</f>
        <v>0</v>
      </c>
      <c r="G402" s="94">
        <f t="shared" ref="G402:H402" si="87">G403</f>
        <v>150</v>
      </c>
      <c r="H402" s="94">
        <f t="shared" si="87"/>
        <v>0</v>
      </c>
    </row>
    <row r="403" spans="1:8">
      <c r="A403" s="56" t="s">
        <v>105</v>
      </c>
      <c r="B403" s="56" t="s">
        <v>89</v>
      </c>
      <c r="C403" s="57" t="s">
        <v>396</v>
      </c>
      <c r="D403" s="21" t="s">
        <v>226</v>
      </c>
      <c r="E403" s="98" t="s">
        <v>225</v>
      </c>
      <c r="F403" s="94">
        <f>150-150</f>
        <v>0</v>
      </c>
      <c r="G403" s="94">
        <v>150</v>
      </c>
      <c r="H403" s="94">
        <v>0</v>
      </c>
    </row>
    <row r="404" spans="1:8" s="37" customFormat="1" ht="14.25">
      <c r="A404" s="35" t="s">
        <v>105</v>
      </c>
      <c r="B404" s="35" t="s">
        <v>90</v>
      </c>
      <c r="C404" s="35"/>
      <c r="D404" s="35"/>
      <c r="E404" s="45" t="s">
        <v>109</v>
      </c>
      <c r="F404" s="42">
        <f>F405+F441</f>
        <v>401360.7</v>
      </c>
      <c r="G404" s="42">
        <f>G405+G441</f>
        <v>379678.5</v>
      </c>
      <c r="H404" s="42">
        <f>H405+H441</f>
        <v>370095.7</v>
      </c>
    </row>
    <row r="405" spans="1:8" s="37" customFormat="1" ht="77.25">
      <c r="A405" s="16" t="s">
        <v>105</v>
      </c>
      <c r="B405" s="16" t="s">
        <v>90</v>
      </c>
      <c r="C405" s="21" t="s">
        <v>74</v>
      </c>
      <c r="D405" s="35"/>
      <c r="E405" s="64" t="s">
        <v>610</v>
      </c>
      <c r="F405" s="65">
        <f t="shared" ref="F405:H405" si="88">F406</f>
        <v>401245.7</v>
      </c>
      <c r="G405" s="65">
        <f t="shared" si="88"/>
        <v>379678.5</v>
      </c>
      <c r="H405" s="65">
        <f t="shared" si="88"/>
        <v>370095.7</v>
      </c>
    </row>
    <row r="406" spans="1:8" s="37" customFormat="1" ht="36" customHeight="1">
      <c r="A406" s="47" t="s">
        <v>105</v>
      </c>
      <c r="B406" s="47" t="s">
        <v>90</v>
      </c>
      <c r="C406" s="52" t="s">
        <v>76</v>
      </c>
      <c r="D406" s="21"/>
      <c r="E406" s="46" t="s">
        <v>597</v>
      </c>
      <c r="F406" s="94">
        <f>F407+F409+F411+F413+F415+F417+F419+F421+F423+F425+F427+F429+F431+F433+F435+F437+F439</f>
        <v>401245.7</v>
      </c>
      <c r="G406" s="94">
        <f t="shared" ref="G406:H406" si="89">G407+G409+G411+G413+G415+G417+G419+G421+G423+G425+G427+G429+G431+G433+G435+G437+G439</f>
        <v>379678.5</v>
      </c>
      <c r="H406" s="94">
        <f t="shared" si="89"/>
        <v>370095.7</v>
      </c>
    </row>
    <row r="407" spans="1:8" s="37" customFormat="1" ht="76.5">
      <c r="A407" s="56" t="s">
        <v>105</v>
      </c>
      <c r="B407" s="90" t="s">
        <v>90</v>
      </c>
      <c r="C407" s="82" t="s">
        <v>404</v>
      </c>
      <c r="D407" s="82"/>
      <c r="E407" s="98" t="s">
        <v>403</v>
      </c>
      <c r="F407" s="94">
        <f>F408</f>
        <v>250068.3</v>
      </c>
      <c r="G407" s="94">
        <f>G408</f>
        <v>222855.8</v>
      </c>
      <c r="H407" s="94">
        <f>H408</f>
        <v>222855.8</v>
      </c>
    </row>
    <row r="408" spans="1:8" s="37" customFormat="1" ht="14.25">
      <c r="A408" s="56" t="s">
        <v>105</v>
      </c>
      <c r="B408" s="90" t="s">
        <v>90</v>
      </c>
      <c r="C408" s="57" t="s">
        <v>404</v>
      </c>
      <c r="D408" s="21" t="s">
        <v>226</v>
      </c>
      <c r="E408" s="98" t="s">
        <v>225</v>
      </c>
      <c r="F408" s="39">
        <f>222855.8+14016+13196.5</f>
        <v>250068.3</v>
      </c>
      <c r="G408" s="39">
        <v>222855.8</v>
      </c>
      <c r="H408" s="39">
        <v>222855.8</v>
      </c>
    </row>
    <row r="409" spans="1:8" s="37" customFormat="1" ht="63.75">
      <c r="A409" s="16" t="s">
        <v>105</v>
      </c>
      <c r="B409" s="16" t="s">
        <v>90</v>
      </c>
      <c r="C409" s="57" t="s">
        <v>405</v>
      </c>
      <c r="D409" s="21"/>
      <c r="E409" s="98" t="s">
        <v>289</v>
      </c>
      <c r="F409" s="94">
        <f>F410</f>
        <v>86546.3</v>
      </c>
      <c r="G409" s="94">
        <f>G410</f>
        <v>86324</v>
      </c>
      <c r="H409" s="94">
        <f>H410</f>
        <v>86324</v>
      </c>
    </row>
    <row r="410" spans="1:8" s="37" customFormat="1" ht="14.25">
      <c r="A410" s="56" t="s">
        <v>105</v>
      </c>
      <c r="B410" s="90" t="s">
        <v>90</v>
      </c>
      <c r="C410" s="57" t="s">
        <v>405</v>
      </c>
      <c r="D410" s="21" t="s">
        <v>226</v>
      </c>
      <c r="E410" s="98" t="s">
        <v>225</v>
      </c>
      <c r="F410" s="94">
        <f>82839.4+3484.6-6.5+228.8</f>
        <v>86546.3</v>
      </c>
      <c r="G410" s="94">
        <f>82839.4+3484.6</f>
        <v>86324</v>
      </c>
      <c r="H410" s="94">
        <f>82839.4+3484.6</f>
        <v>86324</v>
      </c>
    </row>
    <row r="411" spans="1:8" s="37" customFormat="1" ht="63.75">
      <c r="A411" s="56" t="s">
        <v>105</v>
      </c>
      <c r="B411" s="90" t="s">
        <v>90</v>
      </c>
      <c r="C411" s="57" t="s">
        <v>407</v>
      </c>
      <c r="D411" s="21"/>
      <c r="E411" s="98" t="s">
        <v>406</v>
      </c>
      <c r="F411" s="94">
        <f>F412</f>
        <v>15910.5</v>
      </c>
      <c r="G411" s="94">
        <f>G412</f>
        <v>15882.5</v>
      </c>
      <c r="H411" s="94">
        <f>H412</f>
        <v>15882.5</v>
      </c>
    </row>
    <row r="412" spans="1:8" s="37" customFormat="1" ht="14.25">
      <c r="A412" s="16" t="s">
        <v>105</v>
      </c>
      <c r="B412" s="16" t="s">
        <v>90</v>
      </c>
      <c r="C412" s="21" t="s">
        <v>407</v>
      </c>
      <c r="D412" s="21" t="s">
        <v>226</v>
      </c>
      <c r="E412" s="98" t="s">
        <v>225</v>
      </c>
      <c r="F412" s="1">
        <f>15882.5+28</f>
        <v>15910.5</v>
      </c>
      <c r="G412" s="1">
        <v>15882.5</v>
      </c>
      <c r="H412" s="1">
        <v>15882.5</v>
      </c>
    </row>
    <row r="413" spans="1:8" s="37" customFormat="1" ht="51.75">
      <c r="A413" s="56" t="s">
        <v>105</v>
      </c>
      <c r="B413" s="90" t="s">
        <v>90</v>
      </c>
      <c r="C413" s="168" t="s">
        <v>771</v>
      </c>
      <c r="D413" s="21"/>
      <c r="E413" s="108" t="s">
        <v>772</v>
      </c>
      <c r="F413" s="39">
        <f>F414</f>
        <v>644.9</v>
      </c>
      <c r="G413" s="39">
        <f t="shared" ref="G413:H413" si="90">G414</f>
        <v>0</v>
      </c>
      <c r="H413" s="39">
        <f t="shared" si="90"/>
        <v>0</v>
      </c>
    </row>
    <row r="414" spans="1:8" s="37" customFormat="1" ht="15">
      <c r="A414" s="16" t="s">
        <v>105</v>
      </c>
      <c r="B414" s="16" t="s">
        <v>90</v>
      </c>
      <c r="C414" s="168" t="s">
        <v>771</v>
      </c>
      <c r="D414" s="21" t="s">
        <v>226</v>
      </c>
      <c r="E414" s="98" t="s">
        <v>225</v>
      </c>
      <c r="F414" s="1">
        <v>644.9</v>
      </c>
      <c r="G414" s="1">
        <v>0</v>
      </c>
      <c r="H414" s="1">
        <v>0</v>
      </c>
    </row>
    <row r="415" spans="1:8" s="37" customFormat="1" ht="64.5">
      <c r="A415" s="56" t="s">
        <v>105</v>
      </c>
      <c r="B415" s="90" t="s">
        <v>90</v>
      </c>
      <c r="C415" s="168" t="s">
        <v>773</v>
      </c>
      <c r="D415" s="21"/>
      <c r="E415" s="108" t="s">
        <v>774</v>
      </c>
      <c r="F415" s="1">
        <f>F416</f>
        <v>6.5</v>
      </c>
      <c r="G415" s="1">
        <f t="shared" ref="G415:H415" si="91">G416</f>
        <v>0</v>
      </c>
      <c r="H415" s="1">
        <f t="shared" si="91"/>
        <v>0</v>
      </c>
    </row>
    <row r="416" spans="1:8" s="37" customFormat="1" ht="15">
      <c r="A416" s="56" t="s">
        <v>105</v>
      </c>
      <c r="B416" s="90" t="s">
        <v>90</v>
      </c>
      <c r="C416" s="168" t="s">
        <v>773</v>
      </c>
      <c r="D416" s="21" t="s">
        <v>226</v>
      </c>
      <c r="E416" s="98" t="s">
        <v>225</v>
      </c>
      <c r="F416" s="1">
        <v>6.5</v>
      </c>
      <c r="G416" s="39">
        <v>0</v>
      </c>
      <c r="H416" s="39">
        <v>0</v>
      </c>
    </row>
    <row r="417" spans="1:8" s="37" customFormat="1" ht="51">
      <c r="A417" s="16" t="s">
        <v>105</v>
      </c>
      <c r="B417" s="16" t="s">
        <v>90</v>
      </c>
      <c r="C417" s="57" t="s">
        <v>410</v>
      </c>
      <c r="D417" s="21"/>
      <c r="E417" s="98" t="s">
        <v>411</v>
      </c>
      <c r="F417" s="94">
        <f>F418</f>
        <v>193.6</v>
      </c>
      <c r="G417" s="94">
        <f>G418</f>
        <v>470</v>
      </c>
      <c r="H417" s="94">
        <f>H418</f>
        <v>0</v>
      </c>
    </row>
    <row r="418" spans="1:8" s="37" customFormat="1" ht="14.25">
      <c r="A418" s="16" t="s">
        <v>105</v>
      </c>
      <c r="B418" s="16" t="s">
        <v>90</v>
      </c>
      <c r="C418" s="57" t="s">
        <v>410</v>
      </c>
      <c r="D418" s="21" t="s">
        <v>226</v>
      </c>
      <c r="E418" s="98" t="s">
        <v>225</v>
      </c>
      <c r="F418" s="94">
        <f>273-27.3-52.1</f>
        <v>193.6</v>
      </c>
      <c r="G418" s="94">
        <v>470</v>
      </c>
      <c r="H418" s="94">
        <v>0</v>
      </c>
    </row>
    <row r="419" spans="1:8" s="37" customFormat="1" ht="63.75">
      <c r="A419" s="16" t="s">
        <v>105</v>
      </c>
      <c r="B419" s="16" t="s">
        <v>90</v>
      </c>
      <c r="C419" s="57" t="s">
        <v>412</v>
      </c>
      <c r="D419" s="57"/>
      <c r="E419" s="124" t="s">
        <v>413</v>
      </c>
      <c r="F419" s="94">
        <f>F420</f>
        <v>0</v>
      </c>
      <c r="G419" s="94">
        <f>G420</f>
        <v>1481.6999999999998</v>
      </c>
      <c r="H419" s="94">
        <f>H420</f>
        <v>1142.9000000000001</v>
      </c>
    </row>
    <row r="420" spans="1:8" s="37" customFormat="1" ht="14.25">
      <c r="A420" s="16" t="s">
        <v>105</v>
      </c>
      <c r="B420" s="16" t="s">
        <v>90</v>
      </c>
      <c r="C420" s="57" t="s">
        <v>412</v>
      </c>
      <c r="D420" s="21" t="s">
        <v>226</v>
      </c>
      <c r="E420" s="98" t="s">
        <v>225</v>
      </c>
      <c r="F420" s="94">
        <v>0</v>
      </c>
      <c r="G420" s="94">
        <f>5245.5-3763.8</f>
        <v>1481.6999999999998</v>
      </c>
      <c r="H420" s="94">
        <v>1142.9000000000001</v>
      </c>
    </row>
    <row r="421" spans="1:8" s="37" customFormat="1" ht="51">
      <c r="A421" s="16" t="s">
        <v>105</v>
      </c>
      <c r="B421" s="16" t="s">
        <v>90</v>
      </c>
      <c r="C421" s="57" t="s">
        <v>660</v>
      </c>
      <c r="D421" s="21"/>
      <c r="E421" s="98" t="s">
        <v>661</v>
      </c>
      <c r="F421" s="94">
        <f>F422</f>
        <v>500</v>
      </c>
      <c r="G421" s="94">
        <f t="shared" ref="G421:H421" si="92">G422</f>
        <v>500</v>
      </c>
      <c r="H421" s="94">
        <f t="shared" si="92"/>
        <v>500</v>
      </c>
    </row>
    <row r="422" spans="1:8" s="37" customFormat="1" ht="14.25">
      <c r="A422" s="16" t="s">
        <v>105</v>
      </c>
      <c r="B422" s="16" t="s">
        <v>90</v>
      </c>
      <c r="C422" s="57" t="s">
        <v>660</v>
      </c>
      <c r="D422" s="21" t="s">
        <v>226</v>
      </c>
      <c r="E422" s="98" t="s">
        <v>225</v>
      </c>
      <c r="F422" s="94">
        <v>500</v>
      </c>
      <c r="G422" s="94">
        <v>500</v>
      </c>
      <c r="H422" s="94">
        <v>500</v>
      </c>
    </row>
    <row r="423" spans="1:8" s="37" customFormat="1" ht="38.25">
      <c r="A423" s="16" t="s">
        <v>105</v>
      </c>
      <c r="B423" s="16" t="s">
        <v>90</v>
      </c>
      <c r="C423" s="165" t="s">
        <v>745</v>
      </c>
      <c r="D423" s="21"/>
      <c r="E423" s="124" t="s">
        <v>746</v>
      </c>
      <c r="F423" s="94">
        <f>F424</f>
        <v>100</v>
      </c>
      <c r="G423" s="94">
        <f t="shared" ref="G423:H423" si="93">G424</f>
        <v>0</v>
      </c>
      <c r="H423" s="94">
        <f t="shared" si="93"/>
        <v>0</v>
      </c>
    </row>
    <row r="424" spans="1:8" s="37" customFormat="1" ht="14.25">
      <c r="A424" s="16" t="s">
        <v>105</v>
      </c>
      <c r="B424" s="16" t="s">
        <v>90</v>
      </c>
      <c r="C424" s="165" t="s">
        <v>745</v>
      </c>
      <c r="D424" s="21" t="s">
        <v>226</v>
      </c>
      <c r="E424" s="98" t="s">
        <v>225</v>
      </c>
      <c r="F424" s="94">
        <v>100</v>
      </c>
      <c r="G424" s="94">
        <v>0</v>
      </c>
      <c r="H424" s="94">
        <v>0</v>
      </c>
    </row>
    <row r="425" spans="1:8" s="37" customFormat="1" ht="38.25">
      <c r="A425" s="16" t="s">
        <v>105</v>
      </c>
      <c r="B425" s="16" t="s">
        <v>90</v>
      </c>
      <c r="C425" s="57" t="s">
        <v>415</v>
      </c>
      <c r="D425" s="21"/>
      <c r="E425" s="98" t="s">
        <v>311</v>
      </c>
      <c r="F425" s="94">
        <f>F426</f>
        <v>5249.9</v>
      </c>
      <c r="G425" s="94">
        <f>G426</f>
        <v>5249.9</v>
      </c>
      <c r="H425" s="94">
        <f>H426</f>
        <v>5249.9</v>
      </c>
    </row>
    <row r="426" spans="1:8" s="37" customFormat="1" ht="14.25">
      <c r="A426" s="16" t="s">
        <v>105</v>
      </c>
      <c r="B426" s="16" t="s">
        <v>90</v>
      </c>
      <c r="C426" s="57" t="s">
        <v>415</v>
      </c>
      <c r="D426" s="21" t="s">
        <v>226</v>
      </c>
      <c r="E426" s="98" t="s">
        <v>225</v>
      </c>
      <c r="F426" s="39">
        <v>5249.9</v>
      </c>
      <c r="G426" s="39">
        <v>5249.9</v>
      </c>
      <c r="H426" s="39">
        <v>5249.9</v>
      </c>
    </row>
    <row r="427" spans="1:8" s="37" customFormat="1" ht="76.5">
      <c r="A427" s="16" t="s">
        <v>105</v>
      </c>
      <c r="B427" s="16" t="s">
        <v>90</v>
      </c>
      <c r="C427" s="21" t="s">
        <v>417</v>
      </c>
      <c r="D427" s="21"/>
      <c r="E427" s="98" t="s">
        <v>136</v>
      </c>
      <c r="F427" s="94">
        <f>F428</f>
        <v>17550.099999999999</v>
      </c>
      <c r="G427" s="94">
        <f>G428</f>
        <v>21313.899999999998</v>
      </c>
      <c r="H427" s="94">
        <f>H428</f>
        <v>17550.099999999999</v>
      </c>
    </row>
    <row r="428" spans="1:8" s="37" customFormat="1" ht="14.25">
      <c r="A428" s="82" t="s">
        <v>105</v>
      </c>
      <c r="B428" s="16" t="s">
        <v>90</v>
      </c>
      <c r="C428" s="21" t="s">
        <v>417</v>
      </c>
      <c r="D428" s="21" t="s">
        <v>226</v>
      </c>
      <c r="E428" s="98" t="s">
        <v>225</v>
      </c>
      <c r="F428" s="94">
        <v>17550.099999999999</v>
      </c>
      <c r="G428" s="94">
        <f>17550.1+3763.8</f>
        <v>21313.899999999998</v>
      </c>
      <c r="H428" s="94">
        <v>17550.099999999999</v>
      </c>
    </row>
    <row r="429" spans="1:8" s="37" customFormat="1" ht="76.5" customHeight="1">
      <c r="A429" s="16" t="s">
        <v>105</v>
      </c>
      <c r="B429" s="16" t="s">
        <v>90</v>
      </c>
      <c r="C429" s="21" t="s">
        <v>418</v>
      </c>
      <c r="D429" s="21"/>
      <c r="E429" s="98" t="s">
        <v>608</v>
      </c>
      <c r="F429" s="94">
        <f>F430</f>
        <v>171.5</v>
      </c>
      <c r="G429" s="94">
        <f>G430</f>
        <v>175</v>
      </c>
      <c r="H429" s="94">
        <f>H430</f>
        <v>0</v>
      </c>
    </row>
    <row r="430" spans="1:8" s="37" customFormat="1" ht="14.25">
      <c r="A430" s="16" t="s">
        <v>105</v>
      </c>
      <c r="B430" s="16" t="s">
        <v>90</v>
      </c>
      <c r="C430" s="21" t="s">
        <v>418</v>
      </c>
      <c r="D430" s="21" t="s">
        <v>226</v>
      </c>
      <c r="E430" s="98" t="s">
        <v>225</v>
      </c>
      <c r="F430" s="41">
        <f>175-3.5</f>
        <v>171.5</v>
      </c>
      <c r="G430" s="41">
        <v>175</v>
      </c>
      <c r="H430" s="41">
        <v>0</v>
      </c>
    </row>
    <row r="431" spans="1:8" s="37" customFormat="1" ht="63.75">
      <c r="A431" s="16" t="s">
        <v>105</v>
      </c>
      <c r="B431" s="16" t="s">
        <v>90</v>
      </c>
      <c r="C431" s="21" t="s">
        <v>735</v>
      </c>
      <c r="D431" s="82"/>
      <c r="E431" s="55" t="s">
        <v>381</v>
      </c>
      <c r="F431" s="41">
        <f>F432</f>
        <v>18640</v>
      </c>
      <c r="G431" s="41">
        <f t="shared" ref="G431:H431" si="94">G432</f>
        <v>18640</v>
      </c>
      <c r="H431" s="41">
        <f t="shared" si="94"/>
        <v>18022.900000000001</v>
      </c>
    </row>
    <row r="432" spans="1:8" s="37" customFormat="1" ht="14.25">
      <c r="A432" s="16" t="s">
        <v>105</v>
      </c>
      <c r="B432" s="16" t="s">
        <v>90</v>
      </c>
      <c r="C432" s="21" t="s">
        <v>735</v>
      </c>
      <c r="D432" s="21" t="s">
        <v>226</v>
      </c>
      <c r="E432" s="98" t="s">
        <v>225</v>
      </c>
      <c r="F432" s="39">
        <v>18640</v>
      </c>
      <c r="G432" s="39">
        <v>18640</v>
      </c>
      <c r="H432" s="39">
        <v>18022.900000000001</v>
      </c>
    </row>
    <row r="433" spans="1:8" s="37" customFormat="1" ht="63.75">
      <c r="A433" s="16" t="s">
        <v>105</v>
      </c>
      <c r="B433" s="16" t="s">
        <v>90</v>
      </c>
      <c r="C433" s="21" t="s">
        <v>588</v>
      </c>
      <c r="D433" s="21"/>
      <c r="E433" s="98" t="s">
        <v>589</v>
      </c>
      <c r="F433" s="41">
        <f>F434</f>
        <v>4339.3999999999996</v>
      </c>
      <c r="G433" s="41">
        <f t="shared" ref="G433:H433" si="95">G434</f>
        <v>3968.1</v>
      </c>
      <c r="H433" s="41">
        <f t="shared" si="95"/>
        <v>0</v>
      </c>
    </row>
    <row r="434" spans="1:8" s="37" customFormat="1" ht="14.25">
      <c r="A434" s="16" t="s">
        <v>105</v>
      </c>
      <c r="B434" s="16" t="s">
        <v>90</v>
      </c>
      <c r="C434" s="21" t="s">
        <v>588</v>
      </c>
      <c r="D434" s="21" t="s">
        <v>226</v>
      </c>
      <c r="E434" s="98" t="s">
        <v>225</v>
      </c>
      <c r="F434" s="41">
        <f>3968.1+466.6-95.3</f>
        <v>4339.3999999999996</v>
      </c>
      <c r="G434" s="41">
        <v>3968.1</v>
      </c>
      <c r="H434" s="41">
        <v>0</v>
      </c>
    </row>
    <row r="435" spans="1:8" s="37" customFormat="1" ht="63" customHeight="1">
      <c r="A435" s="16" t="s">
        <v>105</v>
      </c>
      <c r="B435" s="16" t="s">
        <v>90</v>
      </c>
      <c r="C435" s="57" t="s">
        <v>734</v>
      </c>
      <c r="D435" s="21"/>
      <c r="E435" s="97" t="s">
        <v>733</v>
      </c>
      <c r="F435" s="41">
        <f>F436</f>
        <v>250</v>
      </c>
      <c r="G435" s="41">
        <f t="shared" ref="G435:H435" si="96">G436</f>
        <v>250</v>
      </c>
      <c r="H435" s="41">
        <f t="shared" si="96"/>
        <v>0</v>
      </c>
    </row>
    <row r="436" spans="1:8" s="37" customFormat="1" ht="14.25">
      <c r="A436" s="16" t="s">
        <v>105</v>
      </c>
      <c r="B436" s="16" t="s">
        <v>90</v>
      </c>
      <c r="C436" s="57" t="s">
        <v>734</v>
      </c>
      <c r="D436" s="21" t="s">
        <v>226</v>
      </c>
      <c r="E436" s="98" t="s">
        <v>225</v>
      </c>
      <c r="F436" s="41">
        <v>250</v>
      </c>
      <c r="G436" s="41">
        <v>250</v>
      </c>
      <c r="H436" s="41">
        <v>0</v>
      </c>
    </row>
    <row r="437" spans="1:8" s="37" customFormat="1" ht="51.75" customHeight="1">
      <c r="A437" s="16" t="s">
        <v>105</v>
      </c>
      <c r="B437" s="16" t="s">
        <v>90</v>
      </c>
      <c r="C437" s="57" t="s">
        <v>741</v>
      </c>
      <c r="D437" s="21"/>
      <c r="E437" s="97" t="s">
        <v>742</v>
      </c>
      <c r="F437" s="41">
        <f>F438</f>
        <v>389.3</v>
      </c>
      <c r="G437" s="41">
        <f t="shared" ref="G437:H437" si="97">G438</f>
        <v>0</v>
      </c>
      <c r="H437" s="41">
        <f t="shared" si="97"/>
        <v>0</v>
      </c>
    </row>
    <row r="438" spans="1:8" s="37" customFormat="1" ht="14.25">
      <c r="A438" s="16" t="s">
        <v>105</v>
      </c>
      <c r="B438" s="16" t="s">
        <v>90</v>
      </c>
      <c r="C438" s="57" t="s">
        <v>741</v>
      </c>
      <c r="D438" s="21" t="s">
        <v>226</v>
      </c>
      <c r="E438" s="98" t="s">
        <v>225</v>
      </c>
      <c r="F438" s="41">
        <v>389.3</v>
      </c>
      <c r="G438" s="41">
        <v>0</v>
      </c>
      <c r="H438" s="41">
        <v>0</v>
      </c>
    </row>
    <row r="439" spans="1:8" s="37" customFormat="1" ht="63.75">
      <c r="A439" s="56" t="s">
        <v>105</v>
      </c>
      <c r="B439" s="90" t="s">
        <v>90</v>
      </c>
      <c r="C439" s="57" t="s">
        <v>760</v>
      </c>
      <c r="D439" s="21"/>
      <c r="E439" s="98" t="s">
        <v>761</v>
      </c>
      <c r="F439" s="1">
        <f>F440</f>
        <v>685.4</v>
      </c>
      <c r="G439" s="1">
        <f t="shared" ref="G439:H439" si="98">G440</f>
        <v>2567.6</v>
      </c>
      <c r="H439" s="1">
        <f t="shared" si="98"/>
        <v>2567.6</v>
      </c>
    </row>
    <row r="440" spans="1:8" s="37" customFormat="1" ht="14.25">
      <c r="A440" s="16" t="s">
        <v>105</v>
      </c>
      <c r="B440" s="16" t="s">
        <v>90</v>
      </c>
      <c r="C440" s="57" t="s">
        <v>760</v>
      </c>
      <c r="D440" s="21" t="s">
        <v>226</v>
      </c>
      <c r="E440" s="98" t="s">
        <v>225</v>
      </c>
      <c r="F440" s="1">
        <v>685.4</v>
      </c>
      <c r="G440" s="1">
        <v>2567.6</v>
      </c>
      <c r="H440" s="1">
        <v>2567.6</v>
      </c>
    </row>
    <row r="441" spans="1:8" s="37" customFormat="1" ht="38.25">
      <c r="A441" s="16" t="s">
        <v>105</v>
      </c>
      <c r="B441" s="16" t="s">
        <v>90</v>
      </c>
      <c r="C441" s="82" t="s">
        <v>25</v>
      </c>
      <c r="D441" s="82"/>
      <c r="E441" s="99" t="s">
        <v>39</v>
      </c>
      <c r="F441" s="41">
        <f>F442</f>
        <v>115</v>
      </c>
      <c r="G441" s="41">
        <f t="shared" ref="G441:H441" si="99">G442</f>
        <v>0</v>
      </c>
      <c r="H441" s="41">
        <f t="shared" si="99"/>
        <v>0</v>
      </c>
    </row>
    <row r="442" spans="1:8" s="37" customFormat="1" ht="51">
      <c r="A442" s="16" t="s">
        <v>105</v>
      </c>
      <c r="B442" s="16" t="s">
        <v>90</v>
      </c>
      <c r="C442" s="82" t="s">
        <v>607</v>
      </c>
      <c r="D442" s="16"/>
      <c r="E442" s="54" t="s">
        <v>605</v>
      </c>
      <c r="F442" s="41">
        <f>SUM(F443:F443)</f>
        <v>115</v>
      </c>
      <c r="G442" s="41">
        <f>SUM(G443:G443)</f>
        <v>0</v>
      </c>
      <c r="H442" s="41">
        <f>SUM(H443:H443)</f>
        <v>0</v>
      </c>
    </row>
    <row r="443" spans="1:8" s="37" customFormat="1" ht="14.25">
      <c r="A443" s="16" t="s">
        <v>105</v>
      </c>
      <c r="B443" s="16" t="s">
        <v>90</v>
      </c>
      <c r="C443" s="82" t="s">
        <v>607</v>
      </c>
      <c r="D443" s="21" t="s">
        <v>226</v>
      </c>
      <c r="E443" s="98" t="s">
        <v>225</v>
      </c>
      <c r="F443" s="39">
        <f>70+45</f>
        <v>115</v>
      </c>
      <c r="G443" s="39">
        <v>0</v>
      </c>
      <c r="H443" s="39">
        <v>0</v>
      </c>
    </row>
    <row r="444" spans="1:8" s="37" customFormat="1" ht="14.25">
      <c r="A444" s="35" t="s">
        <v>105</v>
      </c>
      <c r="B444" s="35" t="s">
        <v>94</v>
      </c>
      <c r="C444" s="35"/>
      <c r="D444" s="35"/>
      <c r="E444" s="46" t="s">
        <v>157</v>
      </c>
      <c r="F444" s="42">
        <f>F445+F468+F482</f>
        <v>65710.3</v>
      </c>
      <c r="G444" s="42">
        <f>G445+G468+G482</f>
        <v>61818.200000000004</v>
      </c>
      <c r="H444" s="42">
        <f>H445+H468+H482</f>
        <v>61613.700000000004</v>
      </c>
    </row>
    <row r="445" spans="1:8" s="37" customFormat="1" ht="76.5">
      <c r="A445" s="5" t="s">
        <v>105</v>
      </c>
      <c r="B445" s="5" t="s">
        <v>94</v>
      </c>
      <c r="C445" s="73" t="s">
        <v>74</v>
      </c>
      <c r="D445" s="21"/>
      <c r="E445" s="64" t="s">
        <v>610</v>
      </c>
      <c r="F445" s="62">
        <f>F446+F465</f>
        <v>49458.6</v>
      </c>
      <c r="G445" s="62">
        <f>G446+G465</f>
        <v>46673.200000000004</v>
      </c>
      <c r="H445" s="62">
        <f>H446+H465</f>
        <v>46468.700000000004</v>
      </c>
    </row>
    <row r="446" spans="1:8" s="37" customFormat="1" ht="38.25">
      <c r="A446" s="16" t="s">
        <v>105</v>
      </c>
      <c r="B446" s="82" t="s">
        <v>94</v>
      </c>
      <c r="C446" s="52" t="s">
        <v>424</v>
      </c>
      <c r="D446" s="35"/>
      <c r="E446" s="46" t="s">
        <v>425</v>
      </c>
      <c r="F446" s="94">
        <f>F447+F449+F451+F453++F459+F461+F463+F455+F457</f>
        <v>49408.6</v>
      </c>
      <c r="G446" s="94">
        <f>G447+G449+G451+G453++G459+G461+G463+G455+G457</f>
        <v>46623.200000000004</v>
      </c>
      <c r="H446" s="94">
        <f>H447+H449+H451+H453++H459+H461+H463+H455+H457</f>
        <v>46468.700000000004</v>
      </c>
    </row>
    <row r="447" spans="1:8" s="37" customFormat="1" ht="76.5">
      <c r="A447" s="16" t="s">
        <v>105</v>
      </c>
      <c r="B447" s="82" t="s">
        <v>94</v>
      </c>
      <c r="C447" s="57" t="s">
        <v>428</v>
      </c>
      <c r="D447" s="16"/>
      <c r="E447" s="98" t="s">
        <v>427</v>
      </c>
      <c r="F447" s="94">
        <f>F448</f>
        <v>30540.799999999999</v>
      </c>
      <c r="G447" s="94">
        <f>SUM(G448:G450)</f>
        <v>36073.800000000003</v>
      </c>
      <c r="H447" s="94">
        <f>SUM(H448:H450)</f>
        <v>36073.800000000003</v>
      </c>
    </row>
    <row r="448" spans="1:8" s="37" customFormat="1" ht="14.25">
      <c r="A448" s="16" t="s">
        <v>105</v>
      </c>
      <c r="B448" s="82" t="s">
        <v>94</v>
      </c>
      <c r="C448" s="57" t="s">
        <v>428</v>
      </c>
      <c r="D448" s="21" t="s">
        <v>226</v>
      </c>
      <c r="E448" s="98" t="s">
        <v>225</v>
      </c>
      <c r="F448" s="94">
        <f>35352.5+721.3-11440.4+4500-22.4-2.4+1432.2</f>
        <v>30540.799999999999</v>
      </c>
      <c r="G448" s="94">
        <f>35352.5+721.3</f>
        <v>36073.800000000003</v>
      </c>
      <c r="H448" s="94">
        <f>35352.5+721.3</f>
        <v>36073.800000000003</v>
      </c>
    </row>
    <row r="449" spans="1:13" s="37" customFormat="1" ht="49.5" customHeight="1">
      <c r="A449" s="16" t="s">
        <v>105</v>
      </c>
      <c r="B449" s="82" t="s">
        <v>94</v>
      </c>
      <c r="C449" s="57" t="s">
        <v>721</v>
      </c>
      <c r="D449" s="21"/>
      <c r="E449" s="98" t="s">
        <v>722</v>
      </c>
      <c r="F449" s="94">
        <f>SUM(F450:F450)</f>
        <v>5837.9000000000015</v>
      </c>
      <c r="G449" s="94">
        <f>SUM(G450:G450)</f>
        <v>0</v>
      </c>
      <c r="H449" s="94">
        <f>SUM(H450:H450)</f>
        <v>0</v>
      </c>
    </row>
    <row r="450" spans="1:13" s="37" customFormat="1" ht="14.25">
      <c r="A450" s="16" t="s">
        <v>105</v>
      </c>
      <c r="B450" s="82" t="s">
        <v>94</v>
      </c>
      <c r="C450" s="57" t="s">
        <v>721</v>
      </c>
      <c r="D450" s="21" t="s">
        <v>226</v>
      </c>
      <c r="E450" s="98" t="s">
        <v>225</v>
      </c>
      <c r="F450" s="94">
        <f>329.7+10817.4+155.7-4500-964.9</f>
        <v>5837.9000000000015</v>
      </c>
      <c r="G450" s="94">
        <v>0</v>
      </c>
      <c r="H450" s="94">
        <v>0</v>
      </c>
    </row>
    <row r="451" spans="1:13" s="37" customFormat="1" ht="76.5">
      <c r="A451" s="16" t="s">
        <v>105</v>
      </c>
      <c r="B451" s="82" t="s">
        <v>94</v>
      </c>
      <c r="C451" s="57" t="s">
        <v>430</v>
      </c>
      <c r="D451" s="21"/>
      <c r="E451" s="98" t="s">
        <v>431</v>
      </c>
      <c r="F451" s="94">
        <f>F452</f>
        <v>11479.3</v>
      </c>
      <c r="G451" s="94">
        <f>G452</f>
        <v>9260.7999999999993</v>
      </c>
      <c r="H451" s="94">
        <f>H452</f>
        <v>9260.7999999999993</v>
      </c>
      <c r="K451" s="151"/>
      <c r="L451" s="151"/>
      <c r="M451" s="151"/>
    </row>
    <row r="452" spans="1:13" s="37" customFormat="1" ht="14.25">
      <c r="A452" s="16" t="s">
        <v>105</v>
      </c>
      <c r="B452" s="82" t="s">
        <v>94</v>
      </c>
      <c r="C452" s="57" t="s">
        <v>430</v>
      </c>
      <c r="D452" s="21" t="s">
        <v>226</v>
      </c>
      <c r="E452" s="98" t="s">
        <v>225</v>
      </c>
      <c r="F452" s="133">
        <f>9259.8+1+2218.5</f>
        <v>11479.3</v>
      </c>
      <c r="G452" s="133">
        <f t="shared" ref="G452:H452" si="100">9259.8+1</f>
        <v>9260.7999999999993</v>
      </c>
      <c r="H452" s="133">
        <f t="shared" si="100"/>
        <v>9260.7999999999993</v>
      </c>
    </row>
    <row r="453" spans="1:13" s="37" customFormat="1" ht="76.5">
      <c r="A453" s="16" t="s">
        <v>105</v>
      </c>
      <c r="B453" s="82" t="s">
        <v>94</v>
      </c>
      <c r="C453" s="57" t="s">
        <v>432</v>
      </c>
      <c r="D453" s="57"/>
      <c r="E453" s="98" t="s">
        <v>433</v>
      </c>
      <c r="F453" s="39">
        <f>F454</f>
        <v>116</v>
      </c>
      <c r="G453" s="39">
        <f>G454</f>
        <v>93.6</v>
      </c>
      <c r="H453" s="39">
        <f>H454</f>
        <v>93.6</v>
      </c>
      <c r="J453" s="151"/>
    </row>
    <row r="454" spans="1:13" s="37" customFormat="1" ht="14.25">
      <c r="A454" s="16" t="s">
        <v>105</v>
      </c>
      <c r="B454" s="82" t="s">
        <v>94</v>
      </c>
      <c r="C454" s="21" t="s">
        <v>432</v>
      </c>
      <c r="D454" s="21" t="s">
        <v>226</v>
      </c>
      <c r="E454" s="98" t="s">
        <v>225</v>
      </c>
      <c r="F454" s="41">
        <f>93.6+22.4</f>
        <v>116</v>
      </c>
      <c r="G454" s="41">
        <v>93.6</v>
      </c>
      <c r="H454" s="41">
        <v>93.6</v>
      </c>
    </row>
    <row r="455" spans="1:13" s="37" customFormat="1" ht="63.75">
      <c r="A455" s="16" t="s">
        <v>105</v>
      </c>
      <c r="B455" s="82" t="s">
        <v>94</v>
      </c>
      <c r="C455" s="21" t="s">
        <v>775</v>
      </c>
      <c r="D455" s="21"/>
      <c r="E455" s="108" t="s">
        <v>776</v>
      </c>
      <c r="F455" s="41">
        <f>F456</f>
        <v>237.2</v>
      </c>
      <c r="G455" s="41">
        <f t="shared" ref="G455:H455" si="101">G456</f>
        <v>0</v>
      </c>
      <c r="H455" s="41">
        <f t="shared" si="101"/>
        <v>0</v>
      </c>
    </row>
    <row r="456" spans="1:13" s="37" customFormat="1" ht="14.25">
      <c r="A456" s="16" t="s">
        <v>105</v>
      </c>
      <c r="B456" s="82" t="s">
        <v>94</v>
      </c>
      <c r="C456" s="21" t="s">
        <v>775</v>
      </c>
      <c r="D456" s="21" t="s">
        <v>226</v>
      </c>
      <c r="E456" s="98" t="s">
        <v>225</v>
      </c>
      <c r="F456" s="41">
        <v>237.2</v>
      </c>
      <c r="G456" s="41">
        <v>0</v>
      </c>
      <c r="H456" s="41">
        <v>0</v>
      </c>
    </row>
    <row r="457" spans="1:13" s="37" customFormat="1" ht="76.5">
      <c r="A457" s="16" t="s">
        <v>105</v>
      </c>
      <c r="B457" s="82" t="s">
        <v>94</v>
      </c>
      <c r="C457" s="21" t="s">
        <v>777</v>
      </c>
      <c r="D457" s="21"/>
      <c r="E457" s="108" t="s">
        <v>778</v>
      </c>
      <c r="F457" s="41">
        <f>F458</f>
        <v>2.4</v>
      </c>
      <c r="G457" s="41">
        <f t="shared" ref="G457:H457" si="102">G458</f>
        <v>0</v>
      </c>
      <c r="H457" s="41">
        <f t="shared" si="102"/>
        <v>0</v>
      </c>
    </row>
    <row r="458" spans="1:13" s="37" customFormat="1" ht="14.25">
      <c r="A458" s="16" t="s">
        <v>105</v>
      </c>
      <c r="B458" s="82" t="s">
        <v>94</v>
      </c>
      <c r="C458" s="21" t="s">
        <v>777</v>
      </c>
      <c r="D458" s="21" t="s">
        <v>226</v>
      </c>
      <c r="E458" s="98" t="s">
        <v>225</v>
      </c>
      <c r="F458" s="41">
        <v>2.4</v>
      </c>
      <c r="G458" s="41">
        <v>0</v>
      </c>
      <c r="H458" s="41">
        <v>0</v>
      </c>
    </row>
    <row r="459" spans="1:13" s="37" customFormat="1" ht="51">
      <c r="A459" s="16" t="s">
        <v>105</v>
      </c>
      <c r="B459" s="82" t="s">
        <v>94</v>
      </c>
      <c r="C459" s="57" t="s">
        <v>596</v>
      </c>
      <c r="D459" s="21"/>
      <c r="E459" s="108" t="s">
        <v>436</v>
      </c>
      <c r="F459" s="94">
        <f>F460</f>
        <v>795</v>
      </c>
      <c r="G459" s="94">
        <f t="shared" ref="G459:H459" si="103">G460</f>
        <v>795</v>
      </c>
      <c r="H459" s="94">
        <f t="shared" si="103"/>
        <v>790.5</v>
      </c>
    </row>
    <row r="460" spans="1:13" s="37" customFormat="1" ht="14.25">
      <c r="A460" s="16" t="s">
        <v>105</v>
      </c>
      <c r="B460" s="82" t="s">
        <v>94</v>
      </c>
      <c r="C460" s="57" t="s">
        <v>596</v>
      </c>
      <c r="D460" s="21" t="s">
        <v>226</v>
      </c>
      <c r="E460" s="98" t="s">
        <v>225</v>
      </c>
      <c r="F460" s="94">
        <v>795</v>
      </c>
      <c r="G460" s="94">
        <v>795</v>
      </c>
      <c r="H460" s="94">
        <f>695.5+25+70.2-0.2</f>
        <v>790.5</v>
      </c>
    </row>
    <row r="461" spans="1:13" s="37" customFormat="1" ht="38.25">
      <c r="A461" s="16" t="s">
        <v>105</v>
      </c>
      <c r="B461" s="82" t="s">
        <v>94</v>
      </c>
      <c r="C461" s="57" t="s">
        <v>437</v>
      </c>
      <c r="D461" s="21"/>
      <c r="E461" s="98" t="s">
        <v>184</v>
      </c>
      <c r="F461" s="41">
        <f>F462</f>
        <v>250</v>
      </c>
      <c r="G461" s="41">
        <f t="shared" ref="G461:H461" si="104">G462</f>
        <v>250</v>
      </c>
      <c r="H461" s="41">
        <f t="shared" si="104"/>
        <v>250</v>
      </c>
    </row>
    <row r="462" spans="1:13" s="37" customFormat="1" ht="14.25">
      <c r="A462" s="16" t="s">
        <v>105</v>
      </c>
      <c r="B462" s="82" t="s">
        <v>94</v>
      </c>
      <c r="C462" s="57" t="s">
        <v>437</v>
      </c>
      <c r="D462" s="21" t="s">
        <v>226</v>
      </c>
      <c r="E462" s="98" t="s">
        <v>225</v>
      </c>
      <c r="F462" s="41">
        <v>250</v>
      </c>
      <c r="G462" s="41">
        <v>250</v>
      </c>
      <c r="H462" s="41">
        <v>250</v>
      </c>
    </row>
    <row r="463" spans="1:13" s="37" customFormat="1" ht="38.25">
      <c r="A463" s="16" t="s">
        <v>105</v>
      </c>
      <c r="B463" s="82" t="s">
        <v>94</v>
      </c>
      <c r="C463" s="57" t="s">
        <v>438</v>
      </c>
      <c r="D463" s="21"/>
      <c r="E463" s="98" t="s">
        <v>439</v>
      </c>
      <c r="F463" s="41">
        <f>F464</f>
        <v>150</v>
      </c>
      <c r="G463" s="41">
        <f t="shared" ref="G463:H463" si="105">G464</f>
        <v>150</v>
      </c>
      <c r="H463" s="41">
        <f t="shared" si="105"/>
        <v>0</v>
      </c>
    </row>
    <row r="464" spans="1:13" s="37" customFormat="1" ht="14.25">
      <c r="A464" s="16" t="s">
        <v>105</v>
      </c>
      <c r="B464" s="82" t="s">
        <v>94</v>
      </c>
      <c r="C464" s="57" t="s">
        <v>438</v>
      </c>
      <c r="D464" s="21" t="s">
        <v>226</v>
      </c>
      <c r="E464" s="98" t="s">
        <v>225</v>
      </c>
      <c r="F464" s="41">
        <v>150</v>
      </c>
      <c r="G464" s="41">
        <v>150</v>
      </c>
      <c r="H464" s="41">
        <v>0</v>
      </c>
    </row>
    <row r="465" spans="1:12" s="37" customFormat="1" ht="27" customHeight="1">
      <c r="A465" s="47" t="s">
        <v>105</v>
      </c>
      <c r="B465" s="47" t="s">
        <v>94</v>
      </c>
      <c r="C465" s="52" t="s">
        <v>441</v>
      </c>
      <c r="D465" s="82"/>
      <c r="E465" s="46" t="s">
        <v>440</v>
      </c>
      <c r="F465" s="93">
        <f>F466</f>
        <v>50</v>
      </c>
      <c r="G465" s="93">
        <f t="shared" ref="G465:H465" si="106">G466</f>
        <v>50</v>
      </c>
      <c r="H465" s="93">
        <f t="shared" si="106"/>
        <v>0</v>
      </c>
    </row>
    <row r="466" spans="1:12" s="37" customFormat="1" ht="76.5">
      <c r="A466" s="16" t="s">
        <v>105</v>
      </c>
      <c r="B466" s="82" t="s">
        <v>94</v>
      </c>
      <c r="C466" s="57" t="s">
        <v>590</v>
      </c>
      <c r="D466" s="16"/>
      <c r="E466" s="98" t="s">
        <v>444</v>
      </c>
      <c r="F466" s="41">
        <f>F467</f>
        <v>50</v>
      </c>
      <c r="G466" s="41">
        <f>G467</f>
        <v>50</v>
      </c>
      <c r="H466" s="41">
        <f>H467</f>
        <v>0</v>
      </c>
    </row>
    <row r="467" spans="1:12" s="37" customFormat="1" ht="14.25">
      <c r="A467" s="16" t="s">
        <v>105</v>
      </c>
      <c r="B467" s="82" t="s">
        <v>94</v>
      </c>
      <c r="C467" s="57" t="s">
        <v>590</v>
      </c>
      <c r="D467" s="21" t="s">
        <v>226</v>
      </c>
      <c r="E467" s="98" t="s">
        <v>225</v>
      </c>
      <c r="F467" s="41">
        <v>50</v>
      </c>
      <c r="G467" s="41">
        <v>50</v>
      </c>
      <c r="H467" s="41">
        <v>0</v>
      </c>
    </row>
    <row r="468" spans="1:12" s="37" customFormat="1" ht="90">
      <c r="A468" s="16" t="s">
        <v>105</v>
      </c>
      <c r="B468" s="82" t="s">
        <v>94</v>
      </c>
      <c r="C468" s="73" t="s">
        <v>60</v>
      </c>
      <c r="D468" s="35"/>
      <c r="E468" s="53" t="s">
        <v>611</v>
      </c>
      <c r="F468" s="65">
        <f t="shared" ref="F468:H468" si="107">F469</f>
        <v>15906.7</v>
      </c>
      <c r="G468" s="65">
        <f t="shared" si="107"/>
        <v>15144.999999999998</v>
      </c>
      <c r="H468" s="65">
        <f t="shared" si="107"/>
        <v>15144.999999999998</v>
      </c>
    </row>
    <row r="469" spans="1:12" s="37" customFormat="1" ht="25.5">
      <c r="A469" s="16" t="s">
        <v>105</v>
      </c>
      <c r="B469" s="82" t="s">
        <v>94</v>
      </c>
      <c r="C469" s="52" t="s">
        <v>61</v>
      </c>
      <c r="D469" s="35"/>
      <c r="E469" s="48" t="s">
        <v>172</v>
      </c>
      <c r="F469" s="58">
        <f>F470+F472+F474+F481+F476+F478</f>
        <v>15906.7</v>
      </c>
      <c r="G469" s="58">
        <f t="shared" ref="G469:H469" si="108">G470+G472+G474+G481+G476+G478</f>
        <v>15144.999999999998</v>
      </c>
      <c r="H469" s="58">
        <f t="shared" si="108"/>
        <v>15144.999999999998</v>
      </c>
    </row>
    <row r="470" spans="1:12" s="37" customFormat="1" ht="27.75" customHeight="1">
      <c r="A470" s="16" t="s">
        <v>105</v>
      </c>
      <c r="B470" s="82" t="s">
        <v>94</v>
      </c>
      <c r="C470" s="74">
        <v>210221100</v>
      </c>
      <c r="D470" s="16"/>
      <c r="E470" s="99" t="s">
        <v>174</v>
      </c>
      <c r="F470" s="39">
        <f>F471</f>
        <v>10757.400000000001</v>
      </c>
      <c r="G470" s="39">
        <f>G471</f>
        <v>11353.199999999999</v>
      </c>
      <c r="H470" s="39">
        <f>H471</f>
        <v>11353.199999999999</v>
      </c>
    </row>
    <row r="471" spans="1:12" s="37" customFormat="1" ht="14.25">
      <c r="A471" s="16" t="s">
        <v>105</v>
      </c>
      <c r="B471" s="82" t="s">
        <v>94</v>
      </c>
      <c r="C471" s="74">
        <v>210221100</v>
      </c>
      <c r="D471" s="21" t="s">
        <v>226</v>
      </c>
      <c r="E471" s="98" t="s">
        <v>225</v>
      </c>
      <c r="F471" s="1">
        <f>10427.2-6.1+236+111.5-10.4-0.8</f>
        <v>10757.400000000001</v>
      </c>
      <c r="G471" s="1">
        <f>11359.3-6.1</f>
        <v>11353.199999999999</v>
      </c>
      <c r="H471" s="1">
        <f>11359.3-6.1</f>
        <v>11353.199999999999</v>
      </c>
    </row>
    <row r="472" spans="1:12" s="37" customFormat="1" ht="76.5">
      <c r="A472" s="16" t="s">
        <v>105</v>
      </c>
      <c r="B472" s="82" t="s">
        <v>94</v>
      </c>
      <c r="C472" s="74">
        <v>210210690</v>
      </c>
      <c r="D472" s="21"/>
      <c r="E472" s="98" t="s">
        <v>320</v>
      </c>
      <c r="F472" s="39">
        <f>F473</f>
        <v>4781.3999999999996</v>
      </c>
      <c r="G472" s="39">
        <f>G473</f>
        <v>3753.9</v>
      </c>
      <c r="H472" s="39">
        <f>H473</f>
        <v>3753.9</v>
      </c>
      <c r="J472" s="151"/>
      <c r="K472" s="151"/>
      <c r="L472" s="151"/>
    </row>
    <row r="473" spans="1:12" s="37" customFormat="1" ht="14.25">
      <c r="A473" s="16" t="s">
        <v>105</v>
      </c>
      <c r="B473" s="82" t="s">
        <v>94</v>
      </c>
      <c r="C473" s="74">
        <v>210210690</v>
      </c>
      <c r="D473" s="21" t="s">
        <v>226</v>
      </c>
      <c r="E473" s="98" t="s">
        <v>225</v>
      </c>
      <c r="F473" s="133">
        <f>3753.9+1027.5</f>
        <v>4781.3999999999996</v>
      </c>
      <c r="G473" s="133">
        <v>3753.9</v>
      </c>
      <c r="H473" s="133">
        <v>3753.9</v>
      </c>
    </row>
    <row r="474" spans="1:12" s="37" customFormat="1" ht="63.75">
      <c r="A474" s="16" t="s">
        <v>105</v>
      </c>
      <c r="B474" s="82" t="s">
        <v>94</v>
      </c>
      <c r="C474" s="74" t="s">
        <v>456</v>
      </c>
      <c r="D474" s="82"/>
      <c r="E474" s="98" t="s">
        <v>321</v>
      </c>
      <c r="F474" s="39">
        <f>SUM(F475:F475)</f>
        <v>48.3</v>
      </c>
      <c r="G474" s="39">
        <f>SUM(G475:G475)</f>
        <v>37.9</v>
      </c>
      <c r="H474" s="39">
        <f>SUM(H475:H475)</f>
        <v>37.9</v>
      </c>
    </row>
    <row r="475" spans="1:12" s="37" customFormat="1" ht="14.25">
      <c r="A475" s="82" t="s">
        <v>105</v>
      </c>
      <c r="B475" s="82" t="s">
        <v>94</v>
      </c>
      <c r="C475" s="74" t="s">
        <v>456</v>
      </c>
      <c r="D475" s="21" t="s">
        <v>226</v>
      </c>
      <c r="E475" s="172" t="s">
        <v>225</v>
      </c>
      <c r="F475" s="39">
        <f>31.8+6.1+10.4</f>
        <v>48.3</v>
      </c>
      <c r="G475" s="39">
        <f t="shared" ref="G475:H475" si="109">31.8+6.1</f>
        <v>37.9</v>
      </c>
      <c r="H475" s="39">
        <f t="shared" si="109"/>
        <v>37.9</v>
      </c>
    </row>
    <row r="476" spans="1:12" s="37" customFormat="1" ht="63.75">
      <c r="A476" s="16" t="s">
        <v>105</v>
      </c>
      <c r="B476" s="82" t="s">
        <v>94</v>
      </c>
      <c r="C476" s="74">
        <v>210211390</v>
      </c>
      <c r="D476" s="170"/>
      <c r="E476" s="174" t="s">
        <v>779</v>
      </c>
      <c r="F476" s="171">
        <f>F477</f>
        <v>81.599999999999994</v>
      </c>
      <c r="G476" s="39">
        <f t="shared" ref="G476:H476" si="110">G477</f>
        <v>0</v>
      </c>
      <c r="H476" s="39">
        <f t="shared" si="110"/>
        <v>0</v>
      </c>
    </row>
    <row r="477" spans="1:12" s="37" customFormat="1" ht="14.25">
      <c r="A477" s="82" t="s">
        <v>105</v>
      </c>
      <c r="B477" s="82" t="s">
        <v>94</v>
      </c>
      <c r="C477" s="74">
        <v>210211390</v>
      </c>
      <c r="D477" s="21" t="s">
        <v>226</v>
      </c>
      <c r="E477" s="173" t="s">
        <v>225</v>
      </c>
      <c r="F477" s="39">
        <v>81.599999999999994</v>
      </c>
      <c r="G477" s="39">
        <v>0</v>
      </c>
      <c r="H477" s="39">
        <v>0</v>
      </c>
    </row>
    <row r="478" spans="1:12" s="37" customFormat="1" ht="76.5">
      <c r="A478" s="16" t="s">
        <v>105</v>
      </c>
      <c r="B478" s="82" t="s">
        <v>94</v>
      </c>
      <c r="C478" s="74" t="s">
        <v>780</v>
      </c>
      <c r="D478" s="21"/>
      <c r="E478" s="108" t="s">
        <v>781</v>
      </c>
      <c r="F478" s="39">
        <f>F479</f>
        <v>0.8</v>
      </c>
      <c r="G478" s="39">
        <f t="shared" ref="G478:H478" si="111">G479</f>
        <v>0</v>
      </c>
      <c r="H478" s="39">
        <f t="shared" si="111"/>
        <v>0</v>
      </c>
    </row>
    <row r="479" spans="1:12" s="37" customFormat="1" ht="14.25">
      <c r="A479" s="82" t="s">
        <v>105</v>
      </c>
      <c r="B479" s="82" t="s">
        <v>94</v>
      </c>
      <c r="C479" s="74" t="s">
        <v>780</v>
      </c>
      <c r="D479" s="21" t="s">
        <v>226</v>
      </c>
      <c r="E479" s="98" t="s">
        <v>225</v>
      </c>
      <c r="F479" s="39">
        <v>0.8</v>
      </c>
      <c r="G479" s="39">
        <v>0</v>
      </c>
      <c r="H479" s="39">
        <v>0</v>
      </c>
    </row>
    <row r="480" spans="1:12" s="37" customFormat="1" ht="25.5">
      <c r="A480" s="16" t="s">
        <v>105</v>
      </c>
      <c r="B480" s="82" t="s">
        <v>94</v>
      </c>
      <c r="C480" s="21" t="s">
        <v>701</v>
      </c>
      <c r="D480" s="82"/>
      <c r="E480" s="98" t="s">
        <v>667</v>
      </c>
      <c r="F480" s="41">
        <f>F481</f>
        <v>237.2</v>
      </c>
      <c r="G480" s="41">
        <f t="shared" ref="G480:H480" si="112">G481</f>
        <v>0</v>
      </c>
      <c r="H480" s="41">
        <f t="shared" si="112"/>
        <v>0</v>
      </c>
    </row>
    <row r="481" spans="1:8" s="37" customFormat="1" ht="14.25">
      <c r="A481" s="16" t="s">
        <v>105</v>
      </c>
      <c r="B481" s="82" t="s">
        <v>94</v>
      </c>
      <c r="C481" s="21" t="s">
        <v>701</v>
      </c>
      <c r="D481" s="21" t="s">
        <v>226</v>
      </c>
      <c r="E481" s="98" t="s">
        <v>225</v>
      </c>
      <c r="F481" s="41">
        <v>237.2</v>
      </c>
      <c r="G481" s="41">
        <v>0</v>
      </c>
      <c r="H481" s="41">
        <v>0</v>
      </c>
    </row>
    <row r="482" spans="1:8" s="37" customFormat="1" ht="38.25">
      <c r="A482" s="82" t="s">
        <v>105</v>
      </c>
      <c r="B482" s="82" t="s">
        <v>94</v>
      </c>
      <c r="C482" s="82" t="s">
        <v>25</v>
      </c>
      <c r="D482" s="82"/>
      <c r="E482" s="99" t="s">
        <v>39</v>
      </c>
      <c r="F482" s="41">
        <f>F483</f>
        <v>345</v>
      </c>
      <c r="G482" s="41">
        <f t="shared" ref="G482:H482" si="113">G483</f>
        <v>0</v>
      </c>
      <c r="H482" s="41">
        <f t="shared" si="113"/>
        <v>0</v>
      </c>
    </row>
    <row r="483" spans="1:8" s="37" customFormat="1" ht="51">
      <c r="A483" s="16" t="s">
        <v>105</v>
      </c>
      <c r="B483" s="82" t="s">
        <v>94</v>
      </c>
      <c r="C483" s="82" t="s">
        <v>607</v>
      </c>
      <c r="D483" s="16"/>
      <c r="E483" s="54" t="s">
        <v>605</v>
      </c>
      <c r="F483" s="41">
        <f>SUM(F484:F484)</f>
        <v>345</v>
      </c>
      <c r="G483" s="41">
        <f>SUM(G484:G484)</f>
        <v>0</v>
      </c>
      <c r="H483" s="41">
        <f>SUM(H484:H484)</f>
        <v>0</v>
      </c>
    </row>
    <row r="484" spans="1:8" s="37" customFormat="1" ht="14.25">
      <c r="A484" s="16" t="s">
        <v>105</v>
      </c>
      <c r="B484" s="82" t="s">
        <v>94</v>
      </c>
      <c r="C484" s="82" t="s">
        <v>607</v>
      </c>
      <c r="D484" s="21" t="s">
        <v>226</v>
      </c>
      <c r="E484" s="98" t="s">
        <v>225</v>
      </c>
      <c r="F484" s="39">
        <f>150+195</f>
        <v>345</v>
      </c>
      <c r="G484" s="39">
        <v>0</v>
      </c>
      <c r="H484" s="39">
        <v>0</v>
      </c>
    </row>
    <row r="485" spans="1:8" s="37" customFormat="1" ht="38.25">
      <c r="A485" s="35" t="s">
        <v>105</v>
      </c>
      <c r="B485" s="35" t="s">
        <v>96</v>
      </c>
      <c r="C485" s="35"/>
      <c r="D485" s="35"/>
      <c r="E485" s="46" t="s">
        <v>2</v>
      </c>
      <c r="F485" s="42">
        <f t="shared" ref="F485:H487" si="114">F486</f>
        <v>209.2</v>
      </c>
      <c r="G485" s="42">
        <f t="shared" si="114"/>
        <v>250</v>
      </c>
      <c r="H485" s="42">
        <f t="shared" si="114"/>
        <v>250</v>
      </c>
    </row>
    <row r="486" spans="1:8" s="37" customFormat="1" ht="76.5">
      <c r="A486" s="16" t="s">
        <v>105</v>
      </c>
      <c r="B486" s="16" t="s">
        <v>96</v>
      </c>
      <c r="C486" s="21" t="s">
        <v>74</v>
      </c>
      <c r="D486" s="35"/>
      <c r="E486" s="64" t="s">
        <v>610</v>
      </c>
      <c r="F486" s="62">
        <f t="shared" si="114"/>
        <v>209.2</v>
      </c>
      <c r="G486" s="62">
        <f t="shared" si="114"/>
        <v>250</v>
      </c>
      <c r="H486" s="62">
        <f t="shared" si="114"/>
        <v>250</v>
      </c>
    </row>
    <row r="487" spans="1:8" s="37" customFormat="1" ht="25.5" customHeight="1">
      <c r="A487" s="16" t="s">
        <v>105</v>
      </c>
      <c r="B487" s="16" t="s">
        <v>96</v>
      </c>
      <c r="C487" s="52" t="s">
        <v>441</v>
      </c>
      <c r="D487" s="35"/>
      <c r="E487" s="46" t="s">
        <v>440</v>
      </c>
      <c r="F487" s="58">
        <f t="shared" si="114"/>
        <v>209.2</v>
      </c>
      <c r="G487" s="58">
        <f t="shared" si="114"/>
        <v>250</v>
      </c>
      <c r="H487" s="58">
        <f t="shared" si="114"/>
        <v>250</v>
      </c>
    </row>
    <row r="488" spans="1:8" s="37" customFormat="1" ht="38.25">
      <c r="A488" s="16" t="s">
        <v>105</v>
      </c>
      <c r="B488" s="16" t="s">
        <v>96</v>
      </c>
      <c r="C488" s="57" t="s">
        <v>591</v>
      </c>
      <c r="D488" s="16"/>
      <c r="E488" s="98" t="s">
        <v>45</v>
      </c>
      <c r="F488" s="41">
        <f>F489</f>
        <v>209.2</v>
      </c>
      <c r="G488" s="41">
        <f>G489</f>
        <v>250</v>
      </c>
      <c r="H488" s="41">
        <f>H489</f>
        <v>250</v>
      </c>
    </row>
    <row r="489" spans="1:8" s="37" customFormat="1" ht="14.25">
      <c r="A489" s="16" t="s">
        <v>105</v>
      </c>
      <c r="B489" s="16" t="s">
        <v>96</v>
      </c>
      <c r="C489" s="57" t="s">
        <v>591</v>
      </c>
      <c r="D489" s="21" t="s">
        <v>226</v>
      </c>
      <c r="E489" s="98" t="s">
        <v>225</v>
      </c>
      <c r="F489" s="94">
        <f>250-40.8</f>
        <v>209.2</v>
      </c>
      <c r="G489" s="94">
        <v>250</v>
      </c>
      <c r="H489" s="94">
        <v>250</v>
      </c>
    </row>
    <row r="490" spans="1:8" s="37" customFormat="1" ht="14.25">
      <c r="A490" s="35" t="s">
        <v>105</v>
      </c>
      <c r="B490" s="35" t="s">
        <v>105</v>
      </c>
      <c r="C490" s="35"/>
      <c r="D490" s="35"/>
      <c r="E490" s="46" t="s">
        <v>156</v>
      </c>
      <c r="F490" s="42">
        <f>F491+F506</f>
        <v>10814.300000000001</v>
      </c>
      <c r="G490" s="42">
        <f t="shared" ref="G490:H490" si="115">G491+G506</f>
        <v>7837.2</v>
      </c>
      <c r="H490" s="42">
        <f t="shared" si="115"/>
        <v>7837.2</v>
      </c>
    </row>
    <row r="491" spans="1:8" ht="90">
      <c r="A491" s="5" t="s">
        <v>105</v>
      </c>
      <c r="B491" s="5" t="s">
        <v>105</v>
      </c>
      <c r="C491" s="73" t="s">
        <v>60</v>
      </c>
      <c r="D491" s="35"/>
      <c r="E491" s="53" t="s">
        <v>611</v>
      </c>
      <c r="F491" s="65">
        <f>F492</f>
        <v>10604.300000000001</v>
      </c>
      <c r="G491" s="65">
        <f t="shared" ref="G491:H491" si="116">G492</f>
        <v>7787.2</v>
      </c>
      <c r="H491" s="65">
        <f t="shared" si="116"/>
        <v>7787.2</v>
      </c>
    </row>
    <row r="492" spans="1:8" ht="25.5">
      <c r="A492" s="16" t="s">
        <v>105</v>
      </c>
      <c r="B492" s="16" t="s">
        <v>105</v>
      </c>
      <c r="C492" s="52" t="s">
        <v>31</v>
      </c>
      <c r="D492" s="21"/>
      <c r="E492" s="48" t="s">
        <v>178</v>
      </c>
      <c r="F492" s="41">
        <f>F493+F495+F497+F499+F501+F503</f>
        <v>10604.300000000001</v>
      </c>
      <c r="G492" s="41">
        <f t="shared" ref="G492:H492" si="117">G493+G495+G497+G499+G501+G503</f>
        <v>7787.2</v>
      </c>
      <c r="H492" s="41">
        <f t="shared" si="117"/>
        <v>7787.2</v>
      </c>
    </row>
    <row r="493" spans="1:8" ht="51">
      <c r="A493" s="16" t="s">
        <v>105</v>
      </c>
      <c r="B493" s="16" t="s">
        <v>105</v>
      </c>
      <c r="C493" s="136" t="s">
        <v>468</v>
      </c>
      <c r="D493" s="16"/>
      <c r="E493" s="100" t="s">
        <v>207</v>
      </c>
      <c r="F493" s="39">
        <f>F494</f>
        <v>6.6</v>
      </c>
      <c r="G493" s="39">
        <f>G494</f>
        <v>6.6</v>
      </c>
      <c r="H493" s="39">
        <f>H494</f>
        <v>6.6</v>
      </c>
    </row>
    <row r="494" spans="1:8" ht="38.25">
      <c r="A494" s="16" t="s">
        <v>105</v>
      </c>
      <c r="B494" s="16" t="s">
        <v>105</v>
      </c>
      <c r="C494" s="136" t="s">
        <v>468</v>
      </c>
      <c r="D494" s="82" t="s">
        <v>212</v>
      </c>
      <c r="E494" s="98" t="s">
        <v>213</v>
      </c>
      <c r="F494" s="41">
        <v>6.6</v>
      </c>
      <c r="G494" s="41">
        <v>6.6</v>
      </c>
      <c r="H494" s="41">
        <v>6.6</v>
      </c>
    </row>
    <row r="495" spans="1:8" ht="25.5">
      <c r="A495" s="16" t="s">
        <v>105</v>
      </c>
      <c r="B495" s="16" t="s">
        <v>105</v>
      </c>
      <c r="C495" s="136" t="s">
        <v>469</v>
      </c>
      <c r="D495" s="16"/>
      <c r="E495" s="98" t="s">
        <v>179</v>
      </c>
      <c r="F495" s="41">
        <f>F496</f>
        <v>300.60000000000002</v>
      </c>
      <c r="G495" s="41">
        <f>G496</f>
        <v>289.60000000000002</v>
      </c>
      <c r="H495" s="41">
        <f>H496</f>
        <v>289.60000000000002</v>
      </c>
    </row>
    <row r="496" spans="1:8" ht="38.25">
      <c r="A496" s="16" t="s">
        <v>105</v>
      </c>
      <c r="B496" s="16" t="s">
        <v>105</v>
      </c>
      <c r="C496" s="136" t="s">
        <v>469</v>
      </c>
      <c r="D496" s="82" t="s">
        <v>212</v>
      </c>
      <c r="E496" s="98" t="s">
        <v>213</v>
      </c>
      <c r="F496" s="41">
        <f>289.6-4+15</f>
        <v>300.60000000000002</v>
      </c>
      <c r="G496" s="41">
        <v>289.60000000000002</v>
      </c>
      <c r="H496" s="41">
        <v>289.60000000000002</v>
      </c>
    </row>
    <row r="497" spans="1:8" ht="63.75">
      <c r="A497" s="16" t="s">
        <v>105</v>
      </c>
      <c r="B497" s="16" t="s">
        <v>105</v>
      </c>
      <c r="C497" s="136" t="s">
        <v>470</v>
      </c>
      <c r="D497" s="16"/>
      <c r="E497" s="98" t="s">
        <v>78</v>
      </c>
      <c r="F497" s="41">
        <f>F498</f>
        <v>0</v>
      </c>
      <c r="G497" s="41">
        <f>G498</f>
        <v>15</v>
      </c>
      <c r="H497" s="41">
        <f>H498</f>
        <v>15</v>
      </c>
    </row>
    <row r="498" spans="1:8" ht="38.25">
      <c r="A498" s="16" t="s">
        <v>105</v>
      </c>
      <c r="B498" s="16" t="s">
        <v>105</v>
      </c>
      <c r="C498" s="136" t="s">
        <v>470</v>
      </c>
      <c r="D498" s="82" t="s">
        <v>212</v>
      </c>
      <c r="E498" s="98" t="s">
        <v>213</v>
      </c>
      <c r="F498" s="41">
        <f>15-15</f>
        <v>0</v>
      </c>
      <c r="G498" s="41">
        <v>15</v>
      </c>
      <c r="H498" s="41">
        <v>15</v>
      </c>
    </row>
    <row r="499" spans="1:8">
      <c r="A499" s="16" t="s">
        <v>105</v>
      </c>
      <c r="B499" s="16" t="s">
        <v>105</v>
      </c>
      <c r="C499" s="136" t="s">
        <v>471</v>
      </c>
      <c r="D499" s="82"/>
      <c r="E499" s="54" t="s">
        <v>385</v>
      </c>
      <c r="F499" s="41">
        <f>F500</f>
        <v>50</v>
      </c>
      <c r="G499" s="41">
        <f>G500</f>
        <v>50</v>
      </c>
      <c r="H499" s="41">
        <f>H500</f>
        <v>50</v>
      </c>
    </row>
    <row r="500" spans="1:8" ht="38.25">
      <c r="A500" s="16" t="s">
        <v>105</v>
      </c>
      <c r="B500" s="16" t="s">
        <v>105</v>
      </c>
      <c r="C500" s="136" t="s">
        <v>471</v>
      </c>
      <c r="D500" s="82" t="s">
        <v>212</v>
      </c>
      <c r="E500" s="98" t="s">
        <v>213</v>
      </c>
      <c r="F500" s="41">
        <v>50</v>
      </c>
      <c r="G500" s="41">
        <v>50</v>
      </c>
      <c r="H500" s="41">
        <v>50</v>
      </c>
    </row>
    <row r="501" spans="1:8" ht="42.75" customHeight="1">
      <c r="A501" s="16" t="s">
        <v>105</v>
      </c>
      <c r="B501" s="16" t="s">
        <v>105</v>
      </c>
      <c r="C501" s="74">
        <v>230221100</v>
      </c>
      <c r="D501" s="16"/>
      <c r="E501" s="98" t="s">
        <v>0</v>
      </c>
      <c r="F501" s="41">
        <f t="shared" ref="F501:H501" si="118">F502</f>
        <v>8963.4</v>
      </c>
      <c r="G501" s="41">
        <f t="shared" si="118"/>
        <v>7426</v>
      </c>
      <c r="H501" s="41">
        <f t="shared" si="118"/>
        <v>7426</v>
      </c>
    </row>
    <row r="502" spans="1:8">
      <c r="A502" s="16" t="s">
        <v>105</v>
      </c>
      <c r="B502" s="16" t="s">
        <v>105</v>
      </c>
      <c r="C502" s="74">
        <v>230221100</v>
      </c>
      <c r="D502" s="82" t="s">
        <v>226</v>
      </c>
      <c r="E502" s="98" t="s">
        <v>225</v>
      </c>
      <c r="F502" s="41">
        <f>8853.6+109.8</f>
        <v>8963.4</v>
      </c>
      <c r="G502" s="41">
        <f>7316.2+109.8</f>
        <v>7426</v>
      </c>
      <c r="H502" s="41">
        <f>7316.2+109.8</f>
        <v>7426</v>
      </c>
    </row>
    <row r="503" spans="1:8" ht="63.75">
      <c r="A503" s="16" t="s">
        <v>105</v>
      </c>
      <c r="B503" s="16" t="s">
        <v>105</v>
      </c>
      <c r="C503" s="21" t="s">
        <v>474</v>
      </c>
      <c r="D503" s="82"/>
      <c r="E503" s="98" t="s">
        <v>473</v>
      </c>
      <c r="F503" s="41">
        <f t="shared" ref="F503:H504" si="119">F504</f>
        <v>1283.7</v>
      </c>
      <c r="G503" s="41">
        <f t="shared" si="119"/>
        <v>0</v>
      </c>
      <c r="H503" s="41">
        <f t="shared" si="119"/>
        <v>0</v>
      </c>
    </row>
    <row r="504" spans="1:8" ht="57.75" customHeight="1">
      <c r="A504" s="16" t="s">
        <v>105</v>
      </c>
      <c r="B504" s="16" t="s">
        <v>105</v>
      </c>
      <c r="C504" s="74">
        <v>230321210</v>
      </c>
      <c r="D504" s="82"/>
      <c r="E504" s="98" t="s">
        <v>472</v>
      </c>
      <c r="F504" s="41">
        <f t="shared" si="119"/>
        <v>1283.7</v>
      </c>
      <c r="G504" s="41">
        <f t="shared" si="119"/>
        <v>0</v>
      </c>
      <c r="H504" s="41">
        <f t="shared" si="119"/>
        <v>0</v>
      </c>
    </row>
    <row r="505" spans="1:8">
      <c r="A505" s="82" t="s">
        <v>105</v>
      </c>
      <c r="B505" s="82" t="s">
        <v>105</v>
      </c>
      <c r="C505" s="74">
        <v>230321210</v>
      </c>
      <c r="D505" s="21" t="s">
        <v>226</v>
      </c>
      <c r="E505" s="98" t="s">
        <v>225</v>
      </c>
      <c r="F505" s="41">
        <v>1283.7</v>
      </c>
      <c r="G505" s="41">
        <v>0</v>
      </c>
      <c r="H505" s="41">
        <v>0</v>
      </c>
    </row>
    <row r="506" spans="1:8" ht="89.25">
      <c r="A506" s="5" t="s">
        <v>105</v>
      </c>
      <c r="B506" s="5" t="s">
        <v>105</v>
      </c>
      <c r="C506" s="73" t="s">
        <v>72</v>
      </c>
      <c r="D506" s="16"/>
      <c r="E506" s="53" t="s">
        <v>621</v>
      </c>
      <c r="F506" s="96">
        <f>F507+F512</f>
        <v>210</v>
      </c>
      <c r="G506" s="96">
        <f t="shared" ref="G506:H506" si="120">G507+G512</f>
        <v>50</v>
      </c>
      <c r="H506" s="96">
        <f t="shared" si="120"/>
        <v>50</v>
      </c>
    </row>
    <row r="507" spans="1:8" ht="76.5">
      <c r="A507" s="47" t="s">
        <v>105</v>
      </c>
      <c r="B507" s="47" t="s">
        <v>105</v>
      </c>
      <c r="C507" s="52" t="s">
        <v>535</v>
      </c>
      <c r="D507" s="16"/>
      <c r="E507" s="48" t="s">
        <v>180</v>
      </c>
      <c r="F507" s="93">
        <f>F508+F510</f>
        <v>170</v>
      </c>
      <c r="G507" s="93">
        <f t="shared" ref="G507:H507" si="121">G508+G510</f>
        <v>50</v>
      </c>
      <c r="H507" s="93">
        <f t="shared" si="121"/>
        <v>50</v>
      </c>
    </row>
    <row r="508" spans="1:8" ht="102">
      <c r="A508" s="16" t="s">
        <v>105</v>
      </c>
      <c r="B508" s="16" t="s">
        <v>105</v>
      </c>
      <c r="C508" s="74">
        <v>1020123085</v>
      </c>
      <c r="D508" s="16"/>
      <c r="E508" s="98" t="s">
        <v>181</v>
      </c>
      <c r="F508" s="41">
        <f>F509</f>
        <v>5</v>
      </c>
      <c r="G508" s="41">
        <f>G509</f>
        <v>5</v>
      </c>
      <c r="H508" s="41">
        <f>H509</f>
        <v>5</v>
      </c>
    </row>
    <row r="509" spans="1:8" ht="38.25">
      <c r="A509" s="16" t="s">
        <v>105</v>
      </c>
      <c r="B509" s="16" t="s">
        <v>105</v>
      </c>
      <c r="C509" s="74">
        <v>1020123085</v>
      </c>
      <c r="D509" s="82" t="s">
        <v>212</v>
      </c>
      <c r="E509" s="98" t="s">
        <v>213</v>
      </c>
      <c r="F509" s="41">
        <v>5</v>
      </c>
      <c r="G509" s="41">
        <v>5</v>
      </c>
      <c r="H509" s="41">
        <v>5</v>
      </c>
    </row>
    <row r="510" spans="1:8">
      <c r="A510" s="16" t="s">
        <v>105</v>
      </c>
      <c r="B510" s="16" t="s">
        <v>105</v>
      </c>
      <c r="C510" s="74">
        <v>1020123086</v>
      </c>
      <c r="D510" s="16"/>
      <c r="E510" s="98" t="s">
        <v>182</v>
      </c>
      <c r="F510" s="41">
        <f>F511</f>
        <v>165</v>
      </c>
      <c r="G510" s="41">
        <f>G511</f>
        <v>45</v>
      </c>
      <c r="H510" s="41">
        <f>H511</f>
        <v>45</v>
      </c>
    </row>
    <row r="511" spans="1:8" ht="38.25">
      <c r="A511" s="16" t="s">
        <v>105</v>
      </c>
      <c r="B511" s="16" t="s">
        <v>105</v>
      </c>
      <c r="C511" s="74">
        <v>1020123086</v>
      </c>
      <c r="D511" s="82" t="s">
        <v>212</v>
      </c>
      <c r="E511" s="98" t="s">
        <v>213</v>
      </c>
      <c r="F511" s="41">
        <f>35+130</f>
        <v>165</v>
      </c>
      <c r="G511" s="41">
        <v>45</v>
      </c>
      <c r="H511" s="41">
        <v>45</v>
      </c>
    </row>
    <row r="512" spans="1:8" ht="51">
      <c r="A512" s="47" t="s">
        <v>105</v>
      </c>
      <c r="B512" s="47" t="s">
        <v>105</v>
      </c>
      <c r="C512" s="52" t="s">
        <v>664</v>
      </c>
      <c r="D512" s="82"/>
      <c r="E512" s="98" t="s">
        <v>698</v>
      </c>
      <c r="F512" s="41">
        <f>F513+F515</f>
        <v>40</v>
      </c>
      <c r="G512" s="41">
        <f t="shared" ref="G512:H512" si="122">G513+G515</f>
        <v>0</v>
      </c>
      <c r="H512" s="41">
        <f t="shared" si="122"/>
        <v>0</v>
      </c>
    </row>
    <row r="513" spans="1:8" ht="38.25">
      <c r="A513" s="16" t="s">
        <v>105</v>
      </c>
      <c r="B513" s="16" t="s">
        <v>105</v>
      </c>
      <c r="C513" s="74">
        <v>1030323090</v>
      </c>
      <c r="D513" s="82"/>
      <c r="E513" s="98" t="s">
        <v>665</v>
      </c>
      <c r="F513" s="41">
        <f>F514</f>
        <v>10</v>
      </c>
      <c r="G513" s="41">
        <f t="shared" ref="G513:H513" si="123">G514</f>
        <v>0</v>
      </c>
      <c r="H513" s="41">
        <f t="shared" si="123"/>
        <v>0</v>
      </c>
    </row>
    <row r="514" spans="1:8" ht="38.25">
      <c r="A514" s="16" t="s">
        <v>105</v>
      </c>
      <c r="B514" s="16" t="s">
        <v>105</v>
      </c>
      <c r="C514" s="74">
        <v>1030323090</v>
      </c>
      <c r="D514" s="82" t="s">
        <v>212</v>
      </c>
      <c r="E514" s="98" t="s">
        <v>213</v>
      </c>
      <c r="F514" s="41">
        <v>10</v>
      </c>
      <c r="G514" s="41">
        <v>0</v>
      </c>
      <c r="H514" s="41">
        <v>0</v>
      </c>
    </row>
    <row r="515" spans="1:8" ht="38.25">
      <c r="A515" s="16" t="s">
        <v>105</v>
      </c>
      <c r="B515" s="16" t="s">
        <v>105</v>
      </c>
      <c r="C515" s="74">
        <v>1030323092</v>
      </c>
      <c r="D515" s="82"/>
      <c r="E515" s="98" t="s">
        <v>666</v>
      </c>
      <c r="F515" s="41">
        <f>F516</f>
        <v>30</v>
      </c>
      <c r="G515" s="41">
        <f t="shared" ref="G515:H515" si="124">G516</f>
        <v>0</v>
      </c>
      <c r="H515" s="41">
        <f t="shared" si="124"/>
        <v>0</v>
      </c>
    </row>
    <row r="516" spans="1:8" ht="38.25">
      <c r="A516" s="16" t="s">
        <v>105</v>
      </c>
      <c r="B516" s="16" t="s">
        <v>105</v>
      </c>
      <c r="C516" s="74">
        <v>1030323092</v>
      </c>
      <c r="D516" s="82" t="s">
        <v>212</v>
      </c>
      <c r="E516" s="98" t="s">
        <v>213</v>
      </c>
      <c r="F516" s="41">
        <v>30</v>
      </c>
      <c r="G516" s="41">
        <v>0</v>
      </c>
      <c r="H516" s="41">
        <v>0</v>
      </c>
    </row>
    <row r="517" spans="1:8" ht="25.5">
      <c r="A517" s="35" t="s">
        <v>105</v>
      </c>
      <c r="B517" s="35" t="s">
        <v>100</v>
      </c>
      <c r="C517" s="35"/>
      <c r="D517" s="35"/>
      <c r="E517" s="46" t="s">
        <v>110</v>
      </c>
      <c r="F517" s="42">
        <f t="shared" ref="F517:H517" si="125">F518</f>
        <v>13831.1</v>
      </c>
      <c r="G517" s="42">
        <f t="shared" si="125"/>
        <v>13205.300000000001</v>
      </c>
      <c r="H517" s="42">
        <f t="shared" si="125"/>
        <v>13205.300000000001</v>
      </c>
    </row>
    <row r="518" spans="1:8" s="20" customFormat="1" ht="77.25">
      <c r="A518" s="16" t="s">
        <v>105</v>
      </c>
      <c r="B518" s="16" t="s">
        <v>100</v>
      </c>
      <c r="C518" s="21" t="s">
        <v>74</v>
      </c>
      <c r="D518" s="35"/>
      <c r="E518" s="64" t="s">
        <v>610</v>
      </c>
      <c r="F518" s="62">
        <f>F519+F528+F546</f>
        <v>13831.1</v>
      </c>
      <c r="G518" s="62">
        <f>G519+G528+G546</f>
        <v>13205.300000000001</v>
      </c>
      <c r="H518" s="62">
        <f>H519+H528+H546</f>
        <v>13205.300000000001</v>
      </c>
    </row>
    <row r="519" spans="1:8" s="20" customFormat="1" ht="42" customHeight="1">
      <c r="A519" s="16" t="s">
        <v>105</v>
      </c>
      <c r="B519" s="16" t="s">
        <v>100</v>
      </c>
      <c r="C519" s="52" t="s">
        <v>76</v>
      </c>
      <c r="D519" s="21"/>
      <c r="E519" s="46" t="s">
        <v>597</v>
      </c>
      <c r="F519" s="58">
        <f>F520+F522+F525</f>
        <v>3989.1000000000004</v>
      </c>
      <c r="G519" s="58">
        <f t="shared" ref="G519:H519" si="126">G520+G522+G525</f>
        <v>3725.4</v>
      </c>
      <c r="H519" s="58">
        <f t="shared" si="126"/>
        <v>3725.4</v>
      </c>
    </row>
    <row r="520" spans="1:8" s="20" customFormat="1" ht="21" customHeight="1">
      <c r="A520" s="16" t="s">
        <v>105</v>
      </c>
      <c r="B520" s="16" t="s">
        <v>100</v>
      </c>
      <c r="C520" s="57" t="s">
        <v>421</v>
      </c>
      <c r="D520" s="21"/>
      <c r="E520" s="98" t="s">
        <v>46</v>
      </c>
      <c r="F520" s="41">
        <f>F521</f>
        <v>1506.9</v>
      </c>
      <c r="G520" s="41">
        <f>G521</f>
        <v>1200.2</v>
      </c>
      <c r="H520" s="41">
        <f>H521</f>
        <v>1200.2</v>
      </c>
    </row>
    <row r="521" spans="1:8" s="20" customFormat="1" ht="19.5" customHeight="1">
      <c r="A521" s="16" t="s">
        <v>105</v>
      </c>
      <c r="B521" s="16" t="s">
        <v>100</v>
      </c>
      <c r="C521" s="57" t="s">
        <v>421</v>
      </c>
      <c r="D521" s="21" t="s">
        <v>226</v>
      </c>
      <c r="E521" s="98" t="s">
        <v>225</v>
      </c>
      <c r="F521" s="41">
        <f>1200.2+306.7</f>
        <v>1506.9</v>
      </c>
      <c r="G521" s="41">
        <v>1200.2</v>
      </c>
      <c r="H521" s="41">
        <v>1200.2</v>
      </c>
    </row>
    <row r="522" spans="1:8" s="20" customFormat="1" ht="42" customHeight="1">
      <c r="A522" s="16" t="s">
        <v>105</v>
      </c>
      <c r="B522" s="16" t="s">
        <v>100</v>
      </c>
      <c r="C522" s="57" t="s">
        <v>423</v>
      </c>
      <c r="D522" s="21"/>
      <c r="E522" s="98" t="s">
        <v>422</v>
      </c>
      <c r="F522" s="41">
        <f>SUM(F523:F524)</f>
        <v>2341.8000000000002</v>
      </c>
      <c r="G522" s="41">
        <f>SUM(G523:G524)</f>
        <v>2341.8000000000002</v>
      </c>
      <c r="H522" s="41">
        <f>SUM(H523:H524)</f>
        <v>2341.8000000000002</v>
      </c>
    </row>
    <row r="523" spans="1:8" s="20" customFormat="1" ht="15.75" customHeight="1">
      <c r="A523" s="16" t="s">
        <v>105</v>
      </c>
      <c r="B523" s="16" t="s">
        <v>100</v>
      </c>
      <c r="C523" s="57" t="s">
        <v>423</v>
      </c>
      <c r="D523" s="21" t="s">
        <v>226</v>
      </c>
      <c r="E523" s="98" t="s">
        <v>225</v>
      </c>
      <c r="F523" s="39">
        <v>2141.8000000000002</v>
      </c>
      <c r="G523" s="39">
        <v>2141.8000000000002</v>
      </c>
      <c r="H523" s="39">
        <v>2141.8000000000002</v>
      </c>
    </row>
    <row r="524" spans="1:8" s="20" customFormat="1" ht="63.75" customHeight="1">
      <c r="A524" s="16" t="s">
        <v>105</v>
      </c>
      <c r="B524" s="16" t="s">
        <v>105</v>
      </c>
      <c r="C524" s="57" t="s">
        <v>423</v>
      </c>
      <c r="D524" s="16" t="s">
        <v>12</v>
      </c>
      <c r="E524" s="98" t="s">
        <v>372</v>
      </c>
      <c r="F524" s="41">
        <v>200</v>
      </c>
      <c r="G524" s="41">
        <v>200</v>
      </c>
      <c r="H524" s="41">
        <v>200</v>
      </c>
    </row>
    <row r="525" spans="1:8" s="20" customFormat="1" ht="38.25">
      <c r="A525" s="16" t="s">
        <v>105</v>
      </c>
      <c r="B525" s="16" t="s">
        <v>100</v>
      </c>
      <c r="C525" s="57" t="s">
        <v>593</v>
      </c>
      <c r="D525" s="21"/>
      <c r="E525" s="98" t="s">
        <v>135</v>
      </c>
      <c r="F525" s="41">
        <f>SUM(F526:F527)</f>
        <v>140.4</v>
      </c>
      <c r="G525" s="41">
        <f>SUM(G526:G527)</f>
        <v>183.4</v>
      </c>
      <c r="H525" s="41">
        <f>SUM(H526:H527)</f>
        <v>183.4</v>
      </c>
    </row>
    <row r="526" spans="1:8" s="20" customFormat="1" ht="25.5">
      <c r="A526" s="16" t="s">
        <v>105</v>
      </c>
      <c r="B526" s="16" t="s">
        <v>100</v>
      </c>
      <c r="C526" s="57" t="s">
        <v>593</v>
      </c>
      <c r="D526" s="82" t="s">
        <v>65</v>
      </c>
      <c r="E526" s="55" t="s">
        <v>131</v>
      </c>
      <c r="F526" s="41">
        <f>88.5-40-26.8</f>
        <v>21.7</v>
      </c>
      <c r="G526" s="41">
        <v>88.5</v>
      </c>
      <c r="H526" s="41">
        <v>88.5</v>
      </c>
    </row>
    <row r="527" spans="1:8" s="20" customFormat="1" ht="38.25">
      <c r="A527" s="16" t="s">
        <v>105</v>
      </c>
      <c r="B527" s="16" t="s">
        <v>100</v>
      </c>
      <c r="C527" s="57" t="s">
        <v>593</v>
      </c>
      <c r="D527" s="82" t="s">
        <v>212</v>
      </c>
      <c r="E527" s="98" t="s">
        <v>213</v>
      </c>
      <c r="F527" s="41">
        <f>94.9-6.2+30</f>
        <v>118.7</v>
      </c>
      <c r="G527" s="41">
        <v>94.9</v>
      </c>
      <c r="H527" s="41">
        <v>94.9</v>
      </c>
    </row>
    <row r="528" spans="1:8" s="20" customFormat="1" ht="24.75" customHeight="1">
      <c r="A528" s="16" t="s">
        <v>105</v>
      </c>
      <c r="B528" s="16" t="s">
        <v>100</v>
      </c>
      <c r="C528" s="52" t="s">
        <v>441</v>
      </c>
      <c r="D528" s="82"/>
      <c r="E528" s="46" t="s">
        <v>440</v>
      </c>
      <c r="F528" s="41">
        <f>F529+F531+F533+F535+F537+F540+F542+F544</f>
        <v>1309.9000000000001</v>
      </c>
      <c r="G528" s="41">
        <f t="shared" ref="G528:H528" si="127">G529+G531+G533+G535+G537+G540+G542</f>
        <v>1196.2</v>
      </c>
      <c r="H528" s="41">
        <f t="shared" si="127"/>
        <v>1196.2</v>
      </c>
    </row>
    <row r="529" spans="1:8" s="20" customFormat="1" ht="51.75">
      <c r="A529" s="16" t="s">
        <v>105</v>
      </c>
      <c r="B529" s="16" t="s">
        <v>100</v>
      </c>
      <c r="C529" s="21" t="s">
        <v>594</v>
      </c>
      <c r="D529" s="16"/>
      <c r="E529" s="97" t="s">
        <v>443</v>
      </c>
      <c r="F529" s="39">
        <f>F530</f>
        <v>105.00000000000001</v>
      </c>
      <c r="G529" s="39">
        <f>G530</f>
        <v>134.30000000000001</v>
      </c>
      <c r="H529" s="39">
        <f>H530</f>
        <v>134.30000000000001</v>
      </c>
    </row>
    <row r="530" spans="1:8" s="20" customFormat="1" ht="15">
      <c r="A530" s="16" t="s">
        <v>105</v>
      </c>
      <c r="B530" s="16" t="s">
        <v>100</v>
      </c>
      <c r="C530" s="21" t="s">
        <v>594</v>
      </c>
      <c r="D530" s="82" t="s">
        <v>362</v>
      </c>
      <c r="E530" s="98" t="s">
        <v>363</v>
      </c>
      <c r="F530" s="41">
        <f>134.3-29.3</f>
        <v>105.00000000000001</v>
      </c>
      <c r="G530" s="41">
        <v>134.30000000000001</v>
      </c>
      <c r="H530" s="41">
        <v>134.30000000000001</v>
      </c>
    </row>
    <row r="531" spans="1:8" s="20" customFormat="1" ht="38.25">
      <c r="A531" s="16" t="s">
        <v>105</v>
      </c>
      <c r="B531" s="16" t="s">
        <v>100</v>
      </c>
      <c r="C531" s="57" t="s">
        <v>595</v>
      </c>
      <c r="D531" s="16"/>
      <c r="E531" s="98" t="s">
        <v>50</v>
      </c>
      <c r="F531" s="41">
        <f>F532</f>
        <v>130.1</v>
      </c>
      <c r="G531" s="41">
        <f>G532</f>
        <v>123.9</v>
      </c>
      <c r="H531" s="41">
        <f>H532</f>
        <v>123.9</v>
      </c>
    </row>
    <row r="532" spans="1:8" s="20" customFormat="1" ht="38.25">
      <c r="A532" s="16" t="s">
        <v>105</v>
      </c>
      <c r="B532" s="16" t="s">
        <v>100</v>
      </c>
      <c r="C532" s="57" t="s">
        <v>595</v>
      </c>
      <c r="D532" s="82" t="s">
        <v>212</v>
      </c>
      <c r="E532" s="98" t="s">
        <v>213</v>
      </c>
      <c r="F532" s="41">
        <f>123.9+6.2</f>
        <v>130.1</v>
      </c>
      <c r="G532" s="41">
        <v>123.9</v>
      </c>
      <c r="H532" s="41">
        <v>123.9</v>
      </c>
    </row>
    <row r="533" spans="1:8" s="20" customFormat="1" ht="38.25">
      <c r="A533" s="16" t="s">
        <v>105</v>
      </c>
      <c r="B533" s="16" t="s">
        <v>100</v>
      </c>
      <c r="C533" s="57" t="s">
        <v>592</v>
      </c>
      <c r="D533" s="16"/>
      <c r="E533" s="54" t="s">
        <v>532</v>
      </c>
      <c r="F533" s="94">
        <f>F534</f>
        <v>37.499999999999993</v>
      </c>
      <c r="G533" s="94">
        <f>G534</f>
        <v>71.099999999999994</v>
      </c>
      <c r="H533" s="94">
        <f>H534</f>
        <v>71.099999999999994</v>
      </c>
    </row>
    <row r="534" spans="1:8" s="20" customFormat="1" ht="15">
      <c r="A534" s="16" t="s">
        <v>105</v>
      </c>
      <c r="B534" s="16" t="s">
        <v>100</v>
      </c>
      <c r="C534" s="57" t="s">
        <v>592</v>
      </c>
      <c r="D534" s="21" t="s">
        <v>226</v>
      </c>
      <c r="E534" s="98" t="s">
        <v>225</v>
      </c>
      <c r="F534" s="94">
        <f>71.1-15.1-18.5</f>
        <v>37.499999999999993</v>
      </c>
      <c r="G534" s="94">
        <v>71.099999999999994</v>
      </c>
      <c r="H534" s="94">
        <v>71.099999999999994</v>
      </c>
    </row>
    <row r="535" spans="1:8" s="20" customFormat="1" ht="63.75">
      <c r="A535" s="16" t="s">
        <v>105</v>
      </c>
      <c r="B535" s="16" t="s">
        <v>100</v>
      </c>
      <c r="C535" s="80">
        <v>140323020</v>
      </c>
      <c r="D535" s="82"/>
      <c r="E535" s="98" t="s">
        <v>134</v>
      </c>
      <c r="F535" s="41">
        <f>F536</f>
        <v>330.20000000000005</v>
      </c>
      <c r="G535" s="41">
        <f>G536</f>
        <v>296.60000000000002</v>
      </c>
      <c r="H535" s="41">
        <f>H536</f>
        <v>296.60000000000002</v>
      </c>
    </row>
    <row r="536" spans="1:8" s="20" customFormat="1" ht="38.25">
      <c r="A536" s="16" t="s">
        <v>105</v>
      </c>
      <c r="B536" s="16" t="s">
        <v>100</v>
      </c>
      <c r="C536" s="80">
        <v>140323020</v>
      </c>
      <c r="D536" s="82" t="s">
        <v>212</v>
      </c>
      <c r="E536" s="98" t="s">
        <v>213</v>
      </c>
      <c r="F536" s="41">
        <f>112+140.5+44.1+15.1+18.5</f>
        <v>330.20000000000005</v>
      </c>
      <c r="G536" s="41">
        <f t="shared" ref="G536:H536" si="128">112+140.5+44.1</f>
        <v>296.60000000000002</v>
      </c>
      <c r="H536" s="41">
        <f t="shared" si="128"/>
        <v>296.60000000000002</v>
      </c>
    </row>
    <row r="537" spans="1:8" s="20" customFormat="1" ht="90" customHeight="1">
      <c r="A537" s="16" t="s">
        <v>105</v>
      </c>
      <c r="B537" s="16" t="s">
        <v>100</v>
      </c>
      <c r="C537" s="80">
        <v>140323025</v>
      </c>
      <c r="D537" s="82"/>
      <c r="E537" s="98" t="s">
        <v>449</v>
      </c>
      <c r="F537" s="41">
        <f>SUM(F538:F539)</f>
        <v>332.3</v>
      </c>
      <c r="G537" s="41">
        <f t="shared" ref="G537:H537" si="129">SUM(G538:G539)</f>
        <v>322.3</v>
      </c>
      <c r="H537" s="41">
        <f t="shared" si="129"/>
        <v>322.3</v>
      </c>
    </row>
    <row r="538" spans="1:8" s="20" customFormat="1" ht="38.25">
      <c r="A538" s="16" t="s">
        <v>105</v>
      </c>
      <c r="B538" s="16" t="s">
        <v>100</v>
      </c>
      <c r="C538" s="80">
        <v>140323025</v>
      </c>
      <c r="D538" s="82" t="s">
        <v>212</v>
      </c>
      <c r="E538" s="98" t="s">
        <v>213</v>
      </c>
      <c r="F538" s="41">
        <f>322.3-35-5+10</f>
        <v>292.3</v>
      </c>
      <c r="G538" s="41">
        <f t="shared" ref="G538:H538" si="130">322.3-35</f>
        <v>287.3</v>
      </c>
      <c r="H538" s="41">
        <f t="shared" si="130"/>
        <v>287.3</v>
      </c>
    </row>
    <row r="539" spans="1:8" s="20" customFormat="1" ht="15">
      <c r="A539" s="16" t="s">
        <v>105</v>
      </c>
      <c r="B539" s="16" t="s">
        <v>100</v>
      </c>
      <c r="C539" s="80">
        <v>140323025</v>
      </c>
      <c r="D539" s="82" t="s">
        <v>699</v>
      </c>
      <c r="E539" s="98" t="s">
        <v>700</v>
      </c>
      <c r="F539" s="41">
        <f>35+5</f>
        <v>40</v>
      </c>
      <c r="G539" s="41">
        <v>35</v>
      </c>
      <c r="H539" s="41">
        <v>35</v>
      </c>
    </row>
    <row r="540" spans="1:8" s="20" customFormat="1" ht="63.75">
      <c r="A540" s="16" t="s">
        <v>105</v>
      </c>
      <c r="B540" s="16" t="s">
        <v>100</v>
      </c>
      <c r="C540" s="80" t="s">
        <v>450</v>
      </c>
      <c r="D540" s="82"/>
      <c r="E540" s="98" t="s">
        <v>451</v>
      </c>
      <c r="F540" s="41">
        <f>F541</f>
        <v>45.9</v>
      </c>
      <c r="G540" s="41">
        <f>G541</f>
        <v>45.9</v>
      </c>
      <c r="H540" s="41">
        <f>H541</f>
        <v>45.9</v>
      </c>
    </row>
    <row r="541" spans="1:8" s="20" customFormat="1" ht="38.25">
      <c r="A541" s="16" t="s">
        <v>105</v>
      </c>
      <c r="B541" s="16" t="s">
        <v>100</v>
      </c>
      <c r="C541" s="80" t="s">
        <v>450</v>
      </c>
      <c r="D541" s="82" t="s">
        <v>212</v>
      </c>
      <c r="E541" s="98" t="s">
        <v>213</v>
      </c>
      <c r="F541" s="41">
        <f>90-44.1</f>
        <v>45.9</v>
      </c>
      <c r="G541" s="41">
        <f t="shared" ref="G541:H541" si="131">90-44.1</f>
        <v>45.9</v>
      </c>
      <c r="H541" s="41">
        <f t="shared" si="131"/>
        <v>45.9</v>
      </c>
    </row>
    <row r="542" spans="1:8" s="36" customFormat="1" ht="38.25">
      <c r="A542" s="16" t="s">
        <v>105</v>
      </c>
      <c r="B542" s="16" t="s">
        <v>100</v>
      </c>
      <c r="C542" s="80">
        <v>140311080</v>
      </c>
      <c r="D542" s="82"/>
      <c r="E542" s="98" t="s">
        <v>452</v>
      </c>
      <c r="F542" s="41">
        <f>F543</f>
        <v>202.1</v>
      </c>
      <c r="G542" s="41">
        <f>G543</f>
        <v>202.1</v>
      </c>
      <c r="H542" s="41">
        <f>H543</f>
        <v>202.1</v>
      </c>
    </row>
    <row r="543" spans="1:8" ht="38.25">
      <c r="A543" s="16" t="s">
        <v>105</v>
      </c>
      <c r="B543" s="16" t="s">
        <v>100</v>
      </c>
      <c r="C543" s="80">
        <v>140311080</v>
      </c>
      <c r="D543" s="82" t="s">
        <v>212</v>
      </c>
      <c r="E543" s="98" t="s">
        <v>213</v>
      </c>
      <c r="F543" s="39">
        <v>202.1</v>
      </c>
      <c r="G543" s="39">
        <v>202.1</v>
      </c>
      <c r="H543" s="39">
        <v>202.1</v>
      </c>
    </row>
    <row r="544" spans="1:8" ht="63.75">
      <c r="A544" s="16" t="s">
        <v>105</v>
      </c>
      <c r="B544" s="16" t="s">
        <v>100</v>
      </c>
      <c r="C544" s="21" t="s">
        <v>747</v>
      </c>
      <c r="D544" s="82"/>
      <c r="E544" s="131" t="s">
        <v>748</v>
      </c>
      <c r="F544" s="39">
        <f>F545</f>
        <v>126.8</v>
      </c>
      <c r="G544" s="39">
        <v>0</v>
      </c>
      <c r="H544" s="39">
        <v>0</v>
      </c>
    </row>
    <row r="545" spans="1:12" ht="38.25">
      <c r="A545" s="16" t="s">
        <v>105</v>
      </c>
      <c r="B545" s="16" t="s">
        <v>100</v>
      </c>
      <c r="C545" s="21" t="s">
        <v>747</v>
      </c>
      <c r="D545" s="82" t="s">
        <v>212</v>
      </c>
      <c r="E545" s="98" t="s">
        <v>213</v>
      </c>
      <c r="F545" s="39">
        <f>120+6.8</f>
        <v>126.8</v>
      </c>
      <c r="G545" s="39">
        <v>0</v>
      </c>
      <c r="H545" s="39">
        <v>0</v>
      </c>
    </row>
    <row r="546" spans="1:12">
      <c r="A546" s="16" t="s">
        <v>105</v>
      </c>
      <c r="B546" s="16" t="s">
        <v>100</v>
      </c>
      <c r="C546" s="52" t="s">
        <v>77</v>
      </c>
      <c r="D546" s="16"/>
      <c r="E546" s="66" t="s">
        <v>47</v>
      </c>
      <c r="F546" s="93">
        <f>F547</f>
        <v>8532.1</v>
      </c>
      <c r="G546" s="93">
        <f>G547</f>
        <v>8283.7000000000007</v>
      </c>
      <c r="H546" s="93">
        <f>H547</f>
        <v>8283.7000000000007</v>
      </c>
    </row>
    <row r="547" spans="1:12" ht="63.75">
      <c r="A547" s="16" t="s">
        <v>105</v>
      </c>
      <c r="B547" s="16" t="s">
        <v>100</v>
      </c>
      <c r="C547" s="80">
        <v>190022200</v>
      </c>
      <c r="D547" s="82"/>
      <c r="E547" s="98" t="s">
        <v>453</v>
      </c>
      <c r="F547" s="41">
        <f>SUM(F548:F549)</f>
        <v>8532.1</v>
      </c>
      <c r="G547" s="41">
        <f>SUM(G548:G549)</f>
        <v>8283.7000000000007</v>
      </c>
      <c r="H547" s="41">
        <f>SUM(H548:H549)</f>
        <v>8283.7000000000007</v>
      </c>
    </row>
    <row r="548" spans="1:12" ht="38.25">
      <c r="A548" s="16" t="s">
        <v>105</v>
      </c>
      <c r="B548" s="16" t="s">
        <v>100</v>
      </c>
      <c r="C548" s="80">
        <v>190022200</v>
      </c>
      <c r="D548" s="16" t="s">
        <v>63</v>
      </c>
      <c r="E548" s="55" t="s">
        <v>64</v>
      </c>
      <c r="F548" s="41">
        <f>4887.2+592.5+1638.9+711.9+248.5</f>
        <v>8079</v>
      </c>
      <c r="G548" s="41">
        <f>4887.2+592.5+1638.9+712</f>
        <v>7830.6</v>
      </c>
      <c r="H548" s="41">
        <f>4887.2+592.5+1638.9+712</f>
        <v>7830.6</v>
      </c>
    </row>
    <row r="549" spans="1:12" ht="38.25">
      <c r="A549" s="16" t="s">
        <v>105</v>
      </c>
      <c r="B549" s="16" t="s">
        <v>100</v>
      </c>
      <c r="C549" s="80">
        <v>190022200</v>
      </c>
      <c r="D549" s="82" t="s">
        <v>212</v>
      </c>
      <c r="E549" s="98" t="s">
        <v>213</v>
      </c>
      <c r="F549" s="41">
        <f>453.1</f>
        <v>453.1</v>
      </c>
      <c r="G549" s="41">
        <f t="shared" ref="G549:H549" si="132">453.1</f>
        <v>453.1</v>
      </c>
      <c r="H549" s="41">
        <f t="shared" si="132"/>
        <v>453.1</v>
      </c>
    </row>
    <row r="550" spans="1:12" ht="15.75">
      <c r="A550" s="4" t="s">
        <v>102</v>
      </c>
      <c r="B550" s="3"/>
      <c r="C550" s="3"/>
      <c r="D550" s="3"/>
      <c r="E550" s="49" t="s">
        <v>20</v>
      </c>
      <c r="F550" s="92">
        <f>F551+F579</f>
        <v>84779.5</v>
      </c>
      <c r="G550" s="92">
        <f>G551+G579</f>
        <v>63727.8</v>
      </c>
      <c r="H550" s="92">
        <f>H551+H579</f>
        <v>63727.8</v>
      </c>
    </row>
    <row r="551" spans="1:12" s="37" customFormat="1" ht="14.25">
      <c r="A551" s="35" t="s">
        <v>102</v>
      </c>
      <c r="B551" s="35" t="s">
        <v>89</v>
      </c>
      <c r="C551" s="35"/>
      <c r="D551" s="35"/>
      <c r="E551" s="45" t="s">
        <v>107</v>
      </c>
      <c r="F551" s="42">
        <f>F552+F576</f>
        <v>80536.2</v>
      </c>
      <c r="G551" s="42">
        <f>G552+G576</f>
        <v>60276.800000000003</v>
      </c>
      <c r="H551" s="42">
        <f>H552+H576</f>
        <v>60276.800000000003</v>
      </c>
    </row>
    <row r="552" spans="1:12" s="37" customFormat="1" ht="90">
      <c r="A552" s="16" t="s">
        <v>102</v>
      </c>
      <c r="B552" s="16" t="s">
        <v>89</v>
      </c>
      <c r="C552" s="73" t="s">
        <v>60</v>
      </c>
      <c r="D552" s="35"/>
      <c r="E552" s="53" t="s">
        <v>611</v>
      </c>
      <c r="F552" s="65">
        <f t="shared" ref="F552:H552" si="133">F553</f>
        <v>80486.2</v>
      </c>
      <c r="G552" s="65">
        <f t="shared" si="133"/>
        <v>60276.800000000003</v>
      </c>
      <c r="H552" s="65">
        <f t="shared" si="133"/>
        <v>60276.800000000003</v>
      </c>
    </row>
    <row r="553" spans="1:12" s="37" customFormat="1" ht="25.5">
      <c r="A553" s="16" t="s">
        <v>102</v>
      </c>
      <c r="B553" s="16" t="s">
        <v>89</v>
      </c>
      <c r="C553" s="21" t="s">
        <v>61</v>
      </c>
      <c r="D553" s="35"/>
      <c r="E553" s="48" t="s">
        <v>172</v>
      </c>
      <c r="F553" s="58">
        <f>F554+F558+F560+F563+F568+F570+F572+F574+F566</f>
        <v>80486.2</v>
      </c>
      <c r="G553" s="58">
        <f t="shared" ref="G553:H553" si="134">G554+G558+G560+G563+G568+G570+G572+G574+G566</f>
        <v>60276.800000000003</v>
      </c>
      <c r="H553" s="58">
        <f t="shared" si="134"/>
        <v>60276.800000000003</v>
      </c>
    </row>
    <row r="554" spans="1:12" s="37" customFormat="1" ht="27" customHeight="1">
      <c r="A554" s="16" t="s">
        <v>102</v>
      </c>
      <c r="B554" s="16" t="s">
        <v>89</v>
      </c>
      <c r="C554" s="74">
        <v>210122900</v>
      </c>
      <c r="D554" s="16"/>
      <c r="E554" s="99" t="s">
        <v>171</v>
      </c>
      <c r="F554" s="39">
        <f>SUM(F555:F557)</f>
        <v>14462.900000000001</v>
      </c>
      <c r="G554" s="39">
        <f t="shared" ref="G554:H554" si="135">SUM(G555:G557)</f>
        <v>10293.400000000001</v>
      </c>
      <c r="H554" s="39">
        <f t="shared" si="135"/>
        <v>10293.400000000001</v>
      </c>
    </row>
    <row r="555" spans="1:12" s="37" customFormat="1" ht="25.5">
      <c r="A555" s="16" t="s">
        <v>102</v>
      </c>
      <c r="B555" s="16" t="s">
        <v>89</v>
      </c>
      <c r="C555" s="74">
        <v>210122900</v>
      </c>
      <c r="D555" s="82" t="s">
        <v>65</v>
      </c>
      <c r="E555" s="55" t="s">
        <v>131</v>
      </c>
      <c r="F555" s="39">
        <f>5408.8-17.4-1.5-21.4</f>
        <v>5368.5000000000009</v>
      </c>
      <c r="G555" s="39">
        <f>5635.6-17.4</f>
        <v>5618.2000000000007</v>
      </c>
      <c r="H555" s="39">
        <f>5635.6-17.4</f>
        <v>5618.2000000000007</v>
      </c>
      <c r="J555" s="151"/>
    </row>
    <row r="556" spans="1:12" s="37" customFormat="1" ht="38.25">
      <c r="A556" s="16" t="s">
        <v>102</v>
      </c>
      <c r="B556" s="16" t="s">
        <v>89</v>
      </c>
      <c r="C556" s="74">
        <v>210122900</v>
      </c>
      <c r="D556" s="82" t="s">
        <v>212</v>
      </c>
      <c r="E556" s="98" t="s">
        <v>213</v>
      </c>
      <c r="F556" s="39">
        <f>5956.5+2577.4+502.4-13.4+70</f>
        <v>9092.9</v>
      </c>
      <c r="G556" s="39">
        <v>4675.2</v>
      </c>
      <c r="H556" s="39">
        <v>4675.2</v>
      </c>
    </row>
    <row r="557" spans="1:12" s="37" customFormat="1" ht="25.5">
      <c r="A557" s="16" t="s">
        <v>102</v>
      </c>
      <c r="B557" s="16" t="s">
        <v>89</v>
      </c>
      <c r="C557" s="74">
        <v>210122900</v>
      </c>
      <c r="D557" s="82" t="s">
        <v>132</v>
      </c>
      <c r="E557" s="98" t="s">
        <v>133</v>
      </c>
      <c r="F557" s="39">
        <v>1.5</v>
      </c>
      <c r="G557" s="39">
        <v>0</v>
      </c>
      <c r="H557" s="39">
        <v>0</v>
      </c>
    </row>
    <row r="558" spans="1:12" s="37" customFormat="1" ht="51">
      <c r="A558" s="16" t="s">
        <v>102</v>
      </c>
      <c r="B558" s="16" t="s">
        <v>89</v>
      </c>
      <c r="C558" s="74">
        <v>210121100</v>
      </c>
      <c r="D558" s="16"/>
      <c r="E558" s="99" t="s">
        <v>173</v>
      </c>
      <c r="F558" s="39">
        <f>F559</f>
        <v>33743.699999999997</v>
      </c>
      <c r="G558" s="39">
        <f>G559</f>
        <v>26356.9</v>
      </c>
      <c r="H558" s="39">
        <f>H559</f>
        <v>26356.9</v>
      </c>
      <c r="J558" s="151"/>
      <c r="K558" s="151"/>
      <c r="L558" s="151"/>
    </row>
    <row r="559" spans="1:12" s="37" customFormat="1" ht="14.25">
      <c r="A559" s="16" t="s">
        <v>102</v>
      </c>
      <c r="B559" s="16" t="s">
        <v>89</v>
      </c>
      <c r="C559" s="74">
        <v>210121100</v>
      </c>
      <c r="D559" s="21" t="s">
        <v>226</v>
      </c>
      <c r="E559" s="98" t="s">
        <v>225</v>
      </c>
      <c r="F559" s="39">
        <f>33945.3-18.5-109.8-25-48.3</f>
        <v>33743.699999999997</v>
      </c>
      <c r="G559" s="1">
        <f>26485.2-18.5-109.8</f>
        <v>26356.9</v>
      </c>
      <c r="H559" s="1">
        <f>26485.2-18.5-109.8</f>
        <v>26356.9</v>
      </c>
    </row>
    <row r="560" spans="1:12" s="37" customFormat="1" ht="51">
      <c r="A560" s="16" t="s">
        <v>102</v>
      </c>
      <c r="B560" s="16" t="s">
        <v>89</v>
      </c>
      <c r="C560" s="74" t="s">
        <v>454</v>
      </c>
      <c r="D560" s="82"/>
      <c r="E560" s="98" t="s">
        <v>319</v>
      </c>
      <c r="F560" s="39">
        <f>SUM(F561:F562)</f>
        <v>305.60000000000002</v>
      </c>
      <c r="G560" s="39">
        <f>SUM(G561:G562)</f>
        <v>235.9</v>
      </c>
      <c r="H560" s="39">
        <f>SUM(H561:H562)</f>
        <v>235.9</v>
      </c>
      <c r="J560" s="151"/>
    </row>
    <row r="561" spans="1:10" s="37" customFormat="1" ht="25.5">
      <c r="A561" s="16" t="s">
        <v>102</v>
      </c>
      <c r="B561" s="16" t="s">
        <v>89</v>
      </c>
      <c r="C561" s="74" t="s">
        <v>454</v>
      </c>
      <c r="D561" s="82" t="s">
        <v>65</v>
      </c>
      <c r="E561" s="55" t="s">
        <v>131</v>
      </c>
      <c r="F561" s="39">
        <f>50+17.4+21.4</f>
        <v>88.800000000000011</v>
      </c>
      <c r="G561" s="39">
        <f t="shared" ref="G561:H561" si="136">50+17.4</f>
        <v>67.400000000000006</v>
      </c>
      <c r="H561" s="39">
        <f t="shared" si="136"/>
        <v>67.400000000000006</v>
      </c>
    </row>
    <row r="562" spans="1:10" s="37" customFormat="1" ht="14.25">
      <c r="A562" s="16" t="s">
        <v>102</v>
      </c>
      <c r="B562" s="16" t="s">
        <v>89</v>
      </c>
      <c r="C562" s="74" t="s">
        <v>454</v>
      </c>
      <c r="D562" s="21" t="s">
        <v>226</v>
      </c>
      <c r="E562" s="98" t="s">
        <v>225</v>
      </c>
      <c r="F562" s="39">
        <f>150+18.5+48.3</f>
        <v>216.8</v>
      </c>
      <c r="G562" s="39">
        <f t="shared" ref="G562:H562" si="137">150+18.5</f>
        <v>168.5</v>
      </c>
      <c r="H562" s="39">
        <f t="shared" si="137"/>
        <v>168.5</v>
      </c>
    </row>
    <row r="563" spans="1:10" s="37" customFormat="1" ht="51">
      <c r="A563" s="16" t="s">
        <v>102</v>
      </c>
      <c r="B563" s="16" t="s">
        <v>89</v>
      </c>
      <c r="C563" s="74">
        <v>210110680</v>
      </c>
      <c r="D563" s="82"/>
      <c r="E563" s="98" t="s">
        <v>358</v>
      </c>
      <c r="F563" s="39">
        <f>SUM(F564:F565)</f>
        <v>30251.600000000002</v>
      </c>
      <c r="G563" s="39">
        <f t="shared" ref="G563:H563" si="138">SUM(G564:G565)</f>
        <v>23354.600000000002</v>
      </c>
      <c r="H563" s="39">
        <f t="shared" si="138"/>
        <v>23354.600000000002</v>
      </c>
      <c r="J563" s="151"/>
    </row>
    <row r="564" spans="1:10" s="37" customFormat="1" ht="25.5">
      <c r="A564" s="16" t="s">
        <v>102</v>
      </c>
      <c r="B564" s="16" t="s">
        <v>89</v>
      </c>
      <c r="C564" s="74">
        <v>210110680</v>
      </c>
      <c r="D564" s="82" t="s">
        <v>65</v>
      </c>
      <c r="E564" s="55" t="s">
        <v>131</v>
      </c>
      <c r="F564" s="39">
        <f>6672.7+2118.3</f>
        <v>8791</v>
      </c>
      <c r="G564" s="39">
        <v>6672.7</v>
      </c>
      <c r="H564" s="39">
        <v>6672.7</v>
      </c>
    </row>
    <row r="565" spans="1:10" s="37" customFormat="1" ht="14.25">
      <c r="A565" s="16" t="s">
        <v>102</v>
      </c>
      <c r="B565" s="16" t="s">
        <v>89</v>
      </c>
      <c r="C565" s="74">
        <v>210110680</v>
      </c>
      <c r="D565" s="21" t="s">
        <v>226</v>
      </c>
      <c r="E565" s="98" t="s">
        <v>225</v>
      </c>
      <c r="F565" s="39">
        <f>16681.9+4778.7</f>
        <v>21460.600000000002</v>
      </c>
      <c r="G565" s="39">
        <v>16681.900000000001</v>
      </c>
      <c r="H565" s="39">
        <v>16681.900000000001</v>
      </c>
    </row>
    <row r="566" spans="1:10" s="37" customFormat="1" ht="51">
      <c r="A566" s="16" t="s">
        <v>102</v>
      </c>
      <c r="B566" s="16" t="s">
        <v>89</v>
      </c>
      <c r="C566" s="74" t="s">
        <v>743</v>
      </c>
      <c r="D566" s="21"/>
      <c r="E566" s="54" t="s">
        <v>744</v>
      </c>
      <c r="F566" s="39">
        <f>F567</f>
        <v>133.4</v>
      </c>
      <c r="G566" s="39">
        <f t="shared" ref="G566:H566" si="139">G567</f>
        <v>0</v>
      </c>
      <c r="H566" s="39">
        <f t="shared" si="139"/>
        <v>0</v>
      </c>
    </row>
    <row r="567" spans="1:10" s="37" customFormat="1" ht="38.25">
      <c r="A567" s="16" t="s">
        <v>102</v>
      </c>
      <c r="B567" s="16" t="s">
        <v>89</v>
      </c>
      <c r="C567" s="74" t="s">
        <v>743</v>
      </c>
      <c r="D567" s="82" t="s">
        <v>212</v>
      </c>
      <c r="E567" s="98" t="s">
        <v>213</v>
      </c>
      <c r="F567" s="39">
        <f>120+13.4</f>
        <v>133.4</v>
      </c>
      <c r="G567" s="39">
        <v>0</v>
      </c>
      <c r="H567" s="39">
        <v>0</v>
      </c>
    </row>
    <row r="568" spans="1:10" s="37" customFormat="1" ht="38.25">
      <c r="A568" s="16" t="s">
        <v>102</v>
      </c>
      <c r="B568" s="16" t="s">
        <v>89</v>
      </c>
      <c r="C568" s="165" t="s">
        <v>751</v>
      </c>
      <c r="D568" s="82"/>
      <c r="E568" s="124" t="s">
        <v>752</v>
      </c>
      <c r="F568" s="39">
        <f>F569</f>
        <v>20</v>
      </c>
      <c r="G568" s="39">
        <f t="shared" ref="G568:H568" si="140">G569</f>
        <v>0</v>
      </c>
      <c r="H568" s="39">
        <f t="shared" si="140"/>
        <v>0</v>
      </c>
    </row>
    <row r="569" spans="1:10" s="37" customFormat="1" ht="38.25">
      <c r="A569" s="16" t="s">
        <v>102</v>
      </c>
      <c r="B569" s="16" t="s">
        <v>89</v>
      </c>
      <c r="C569" s="165" t="s">
        <v>751</v>
      </c>
      <c r="D569" s="82" t="s">
        <v>212</v>
      </c>
      <c r="E569" s="98" t="s">
        <v>213</v>
      </c>
      <c r="F569" s="39">
        <v>20</v>
      </c>
      <c r="G569" s="39">
        <v>0</v>
      </c>
      <c r="H569" s="39">
        <v>0</v>
      </c>
    </row>
    <row r="570" spans="1:10" s="37" customFormat="1" ht="51">
      <c r="A570" s="16" t="s">
        <v>102</v>
      </c>
      <c r="B570" s="16" t="s">
        <v>89</v>
      </c>
      <c r="C570" s="125" t="s">
        <v>457</v>
      </c>
      <c r="D570" s="82"/>
      <c r="E570" s="131" t="s">
        <v>373</v>
      </c>
      <c r="F570" s="39">
        <f>F571</f>
        <v>624</v>
      </c>
      <c r="G570" s="39">
        <f>G571</f>
        <v>35</v>
      </c>
      <c r="H570" s="39">
        <f>H571</f>
        <v>35</v>
      </c>
    </row>
    <row r="571" spans="1:10" s="37" customFormat="1" ht="14.25">
      <c r="A571" s="16" t="s">
        <v>102</v>
      </c>
      <c r="B571" s="16" t="s">
        <v>89</v>
      </c>
      <c r="C571" s="125" t="s">
        <v>457</v>
      </c>
      <c r="D571" s="21" t="s">
        <v>226</v>
      </c>
      <c r="E571" s="98" t="s">
        <v>225</v>
      </c>
      <c r="F571" s="39">
        <f>13+611</f>
        <v>624</v>
      </c>
      <c r="G571" s="39">
        <v>35</v>
      </c>
      <c r="H571" s="39">
        <v>35</v>
      </c>
    </row>
    <row r="572" spans="1:10" s="37" customFormat="1" ht="51">
      <c r="A572" s="16" t="s">
        <v>102</v>
      </c>
      <c r="B572" s="16" t="s">
        <v>89</v>
      </c>
      <c r="C572" s="134" t="s">
        <v>459</v>
      </c>
      <c r="D572" s="21"/>
      <c r="E572" s="98" t="s">
        <v>458</v>
      </c>
      <c r="F572" s="39">
        <f>F573</f>
        <v>945</v>
      </c>
      <c r="G572" s="39">
        <f>G573</f>
        <v>0</v>
      </c>
      <c r="H572" s="39">
        <f>H573</f>
        <v>0</v>
      </c>
    </row>
    <row r="573" spans="1:10" s="37" customFormat="1" ht="14.25">
      <c r="A573" s="16" t="s">
        <v>102</v>
      </c>
      <c r="B573" s="16" t="s">
        <v>89</v>
      </c>
      <c r="C573" s="134" t="s">
        <v>459</v>
      </c>
      <c r="D573" s="21" t="s">
        <v>226</v>
      </c>
      <c r="E573" s="98" t="s">
        <v>225</v>
      </c>
      <c r="F573" s="39">
        <v>945</v>
      </c>
      <c r="G573" s="39">
        <v>0</v>
      </c>
      <c r="H573" s="39">
        <v>0</v>
      </c>
    </row>
    <row r="574" spans="1:10" s="156" customFormat="1" ht="63.75">
      <c r="A574" s="152" t="s">
        <v>102</v>
      </c>
      <c r="B574" s="152" t="s">
        <v>89</v>
      </c>
      <c r="C574" s="153" t="s">
        <v>463</v>
      </c>
      <c r="D574" s="154"/>
      <c r="E574" s="155" t="s">
        <v>462</v>
      </c>
      <c r="F574" s="39">
        <f>F575</f>
        <v>0</v>
      </c>
      <c r="G574" s="39">
        <f t="shared" ref="G574:H574" si="141">G575</f>
        <v>1</v>
      </c>
      <c r="H574" s="39">
        <f t="shared" si="141"/>
        <v>1</v>
      </c>
    </row>
    <row r="575" spans="1:10" s="37" customFormat="1" ht="14.25">
      <c r="A575" s="16" t="s">
        <v>102</v>
      </c>
      <c r="B575" s="16" t="s">
        <v>89</v>
      </c>
      <c r="C575" s="134" t="s">
        <v>463</v>
      </c>
      <c r="D575" s="21" t="s">
        <v>226</v>
      </c>
      <c r="E575" s="98" t="s">
        <v>225</v>
      </c>
      <c r="F575" s="39">
        <f>1-1</f>
        <v>0</v>
      </c>
      <c r="G575" s="39">
        <v>1</v>
      </c>
      <c r="H575" s="39">
        <v>1</v>
      </c>
    </row>
    <row r="576" spans="1:10" s="37" customFormat="1" ht="38.25">
      <c r="A576" s="16" t="s">
        <v>102</v>
      </c>
      <c r="B576" s="16" t="s">
        <v>89</v>
      </c>
      <c r="C576" s="82" t="s">
        <v>25</v>
      </c>
      <c r="D576" s="82"/>
      <c r="E576" s="99" t="s">
        <v>39</v>
      </c>
      <c r="F576" s="41">
        <f>F577</f>
        <v>50</v>
      </c>
      <c r="G576" s="41">
        <f t="shared" ref="G576:H576" si="142">G577</f>
        <v>0</v>
      </c>
      <c r="H576" s="41">
        <f t="shared" si="142"/>
        <v>0</v>
      </c>
    </row>
    <row r="577" spans="1:8" s="37" customFormat="1" ht="51.75" customHeight="1">
      <c r="A577" s="16" t="s">
        <v>102</v>
      </c>
      <c r="B577" s="16" t="s">
        <v>89</v>
      </c>
      <c r="C577" s="82" t="s">
        <v>607</v>
      </c>
      <c r="D577" s="16"/>
      <c r="E577" s="54" t="s">
        <v>609</v>
      </c>
      <c r="F577" s="41">
        <f>SUM(F578:F578)</f>
        <v>50</v>
      </c>
      <c r="G577" s="41">
        <f>SUM(G578:G578)</f>
        <v>0</v>
      </c>
      <c r="H577" s="41">
        <f>SUM(H578:H578)</f>
        <v>0</v>
      </c>
    </row>
    <row r="578" spans="1:8" s="37" customFormat="1" ht="14.25">
      <c r="A578" s="16" t="s">
        <v>102</v>
      </c>
      <c r="B578" s="16" t="s">
        <v>89</v>
      </c>
      <c r="C578" s="82" t="s">
        <v>607</v>
      </c>
      <c r="D578" s="21" t="s">
        <v>226</v>
      </c>
      <c r="E578" s="98" t="s">
        <v>225</v>
      </c>
      <c r="F578" s="39">
        <v>50</v>
      </c>
      <c r="G578" s="39">
        <v>0</v>
      </c>
      <c r="H578" s="39">
        <v>0</v>
      </c>
    </row>
    <row r="579" spans="1:8" ht="25.5">
      <c r="A579" s="35" t="s">
        <v>102</v>
      </c>
      <c r="B579" s="35" t="s">
        <v>95</v>
      </c>
      <c r="C579" s="35"/>
      <c r="D579" s="35"/>
      <c r="E579" s="46" t="s">
        <v>7</v>
      </c>
      <c r="F579" s="42">
        <f>F580+F590</f>
        <v>4243.3</v>
      </c>
      <c r="G579" s="42">
        <f>G580+G590</f>
        <v>3451</v>
      </c>
      <c r="H579" s="42">
        <f>H580+H590</f>
        <v>3451</v>
      </c>
    </row>
    <row r="580" spans="1:8" ht="90">
      <c r="A580" s="5" t="s">
        <v>102</v>
      </c>
      <c r="B580" s="5" t="s">
        <v>95</v>
      </c>
      <c r="C580" s="73" t="s">
        <v>60</v>
      </c>
      <c r="D580" s="35"/>
      <c r="E580" s="53" t="s">
        <v>611</v>
      </c>
      <c r="F580" s="65">
        <f>F581+F586</f>
        <v>4003.3</v>
      </c>
      <c r="G580" s="65">
        <f>G581+G586</f>
        <v>3451</v>
      </c>
      <c r="H580" s="65">
        <f>H581+H586</f>
        <v>3451</v>
      </c>
    </row>
    <row r="581" spans="1:8" ht="25.5">
      <c r="A581" s="16" t="s">
        <v>102</v>
      </c>
      <c r="B581" s="16" t="s">
        <v>95</v>
      </c>
      <c r="C581" s="21" t="s">
        <v>61</v>
      </c>
      <c r="D581" s="35"/>
      <c r="E581" s="48" t="s">
        <v>172</v>
      </c>
      <c r="F581" s="42">
        <f>F582+F584</f>
        <v>599.79999999999995</v>
      </c>
      <c r="G581" s="42">
        <f t="shared" ref="G581:H581" si="143">G582+G584</f>
        <v>300</v>
      </c>
      <c r="H581" s="42">
        <f t="shared" si="143"/>
        <v>300</v>
      </c>
    </row>
    <row r="582" spans="1:8" ht="51">
      <c r="A582" s="16" t="s">
        <v>102</v>
      </c>
      <c r="B582" s="16" t="s">
        <v>95</v>
      </c>
      <c r="C582" s="21" t="s">
        <v>465</v>
      </c>
      <c r="D582" s="16"/>
      <c r="E582" s="98" t="s">
        <v>175</v>
      </c>
      <c r="F582" s="41">
        <f t="shared" ref="F582:H582" si="144">F583</f>
        <v>499.8</v>
      </c>
      <c r="G582" s="41">
        <f t="shared" si="144"/>
        <v>300</v>
      </c>
      <c r="H582" s="41">
        <f t="shared" si="144"/>
        <v>300</v>
      </c>
    </row>
    <row r="583" spans="1:8" ht="38.25">
      <c r="A583" s="16" t="s">
        <v>102</v>
      </c>
      <c r="B583" s="16" t="s">
        <v>95</v>
      </c>
      <c r="C583" s="21" t="s">
        <v>465</v>
      </c>
      <c r="D583" s="82" t="s">
        <v>212</v>
      </c>
      <c r="E583" s="98" t="s">
        <v>213</v>
      </c>
      <c r="F583" s="41">
        <f>374+125.8</f>
        <v>499.8</v>
      </c>
      <c r="G583" s="41">
        <v>300</v>
      </c>
      <c r="H583" s="41">
        <v>300</v>
      </c>
    </row>
    <row r="584" spans="1:8" ht="25.5">
      <c r="A584" s="16" t="s">
        <v>102</v>
      </c>
      <c r="B584" s="16" t="s">
        <v>95</v>
      </c>
      <c r="C584" s="21" t="s">
        <v>753</v>
      </c>
      <c r="D584" s="82"/>
      <c r="E584" s="108" t="s">
        <v>754</v>
      </c>
      <c r="F584" s="41">
        <f>F585</f>
        <v>100</v>
      </c>
      <c r="G584" s="41">
        <f t="shared" ref="G584:H584" si="145">G585</f>
        <v>0</v>
      </c>
      <c r="H584" s="41">
        <f t="shared" si="145"/>
        <v>0</v>
      </c>
    </row>
    <row r="585" spans="1:8" ht="38.25">
      <c r="A585" s="16" t="s">
        <v>102</v>
      </c>
      <c r="B585" s="16" t="s">
        <v>95</v>
      </c>
      <c r="C585" s="167" t="s">
        <v>753</v>
      </c>
      <c r="D585" s="82" t="s">
        <v>212</v>
      </c>
      <c r="E585" s="98" t="s">
        <v>213</v>
      </c>
      <c r="F585" s="41">
        <v>100</v>
      </c>
      <c r="G585" s="41">
        <v>0</v>
      </c>
      <c r="H585" s="41">
        <v>0</v>
      </c>
    </row>
    <row r="586" spans="1:8">
      <c r="A586" s="16" t="s">
        <v>102</v>
      </c>
      <c r="B586" s="16" t="s">
        <v>95</v>
      </c>
      <c r="C586" s="52" t="s">
        <v>32</v>
      </c>
      <c r="D586" s="21"/>
      <c r="E586" s="66" t="s">
        <v>47</v>
      </c>
      <c r="F586" s="58">
        <f>F587</f>
        <v>3403.5</v>
      </c>
      <c r="G586" s="58">
        <f>G587</f>
        <v>3151</v>
      </c>
      <c r="H586" s="58">
        <f>H587</f>
        <v>3151</v>
      </c>
    </row>
    <row r="587" spans="1:8" ht="65.25" customHeight="1">
      <c r="A587" s="16" t="s">
        <v>102</v>
      </c>
      <c r="B587" s="16" t="s">
        <v>95</v>
      </c>
      <c r="C587" s="80">
        <v>290022200</v>
      </c>
      <c r="D587" s="21"/>
      <c r="E587" s="98" t="s">
        <v>264</v>
      </c>
      <c r="F587" s="94">
        <f>SUM(F588:F589)</f>
        <v>3403.5</v>
      </c>
      <c r="G587" s="94">
        <f>SUM(G588:G589)</f>
        <v>3151</v>
      </c>
      <c r="H587" s="94">
        <f>SUM(H588:H589)</f>
        <v>3151</v>
      </c>
    </row>
    <row r="588" spans="1:8" ht="38.25">
      <c r="A588" s="16" t="s">
        <v>102</v>
      </c>
      <c r="B588" s="16" t="s">
        <v>95</v>
      </c>
      <c r="C588" s="80">
        <v>290022200</v>
      </c>
      <c r="D588" s="16" t="s">
        <v>63</v>
      </c>
      <c r="E588" s="55" t="s">
        <v>64</v>
      </c>
      <c r="F588" s="94">
        <f>3035.4+300.6</f>
        <v>3336</v>
      </c>
      <c r="G588" s="94">
        <f>2788.9+300.6</f>
        <v>3089.5</v>
      </c>
      <c r="H588" s="94">
        <f>2788.9+300.6</f>
        <v>3089.5</v>
      </c>
    </row>
    <row r="589" spans="1:8" ht="38.25">
      <c r="A589" s="16" t="s">
        <v>102</v>
      </c>
      <c r="B589" s="16" t="s">
        <v>95</v>
      </c>
      <c r="C589" s="80">
        <v>290022200</v>
      </c>
      <c r="D589" s="82" t="s">
        <v>212</v>
      </c>
      <c r="E589" s="98" t="s">
        <v>213</v>
      </c>
      <c r="F589" s="41">
        <v>67.5</v>
      </c>
      <c r="G589" s="41">
        <v>61.5</v>
      </c>
      <c r="H589" s="41">
        <v>61.5</v>
      </c>
    </row>
    <row r="590" spans="1:8" ht="38.25">
      <c r="A590" s="16" t="s">
        <v>102</v>
      </c>
      <c r="B590" s="16" t="s">
        <v>95</v>
      </c>
      <c r="C590" s="82" t="s">
        <v>25</v>
      </c>
      <c r="D590" s="82"/>
      <c r="E590" s="99" t="s">
        <v>39</v>
      </c>
      <c r="F590" s="41">
        <f>F591</f>
        <v>240</v>
      </c>
      <c r="G590" s="41">
        <f t="shared" ref="G590:H591" si="146">G591</f>
        <v>0</v>
      </c>
      <c r="H590" s="41">
        <f t="shared" si="146"/>
        <v>0</v>
      </c>
    </row>
    <row r="591" spans="1:8" ht="51">
      <c r="A591" s="16" t="s">
        <v>102</v>
      </c>
      <c r="B591" s="16" t="s">
        <v>95</v>
      </c>
      <c r="C591" s="82" t="s">
        <v>606</v>
      </c>
      <c r="D591" s="21"/>
      <c r="E591" s="54" t="s">
        <v>605</v>
      </c>
      <c r="F591" s="39">
        <f>F592</f>
        <v>240</v>
      </c>
      <c r="G591" s="39">
        <f t="shared" si="146"/>
        <v>0</v>
      </c>
      <c r="H591" s="39">
        <f t="shared" si="146"/>
        <v>0</v>
      </c>
    </row>
    <row r="592" spans="1:8" ht="38.25">
      <c r="A592" s="16" t="s">
        <v>102</v>
      </c>
      <c r="B592" s="16" t="s">
        <v>95</v>
      </c>
      <c r="C592" s="82" t="s">
        <v>606</v>
      </c>
      <c r="D592" s="82" t="s">
        <v>212</v>
      </c>
      <c r="E592" s="98" t="s">
        <v>213</v>
      </c>
      <c r="F592" s="39">
        <v>240</v>
      </c>
      <c r="G592" s="39">
        <v>0</v>
      </c>
      <c r="H592" s="39">
        <v>0</v>
      </c>
    </row>
    <row r="593" spans="1:8" ht="15.75">
      <c r="A593" s="4" t="s">
        <v>111</v>
      </c>
      <c r="B593" s="3"/>
      <c r="C593" s="3"/>
      <c r="D593" s="3"/>
      <c r="E593" s="49" t="s">
        <v>112</v>
      </c>
      <c r="F593" s="96">
        <f>F594+F599+F612</f>
        <v>57195.600000000006</v>
      </c>
      <c r="G593" s="96">
        <f t="shared" ref="G593:H593" si="147">G594+G599+G612</f>
        <v>24787.399999999998</v>
      </c>
      <c r="H593" s="96">
        <f t="shared" si="147"/>
        <v>28190.6</v>
      </c>
    </row>
    <row r="594" spans="1:8" s="37" customFormat="1" ht="14.25">
      <c r="A594" s="35" t="s">
        <v>111</v>
      </c>
      <c r="B594" s="35" t="s">
        <v>89</v>
      </c>
      <c r="C594" s="35"/>
      <c r="D594" s="35"/>
      <c r="E594" s="45" t="s">
        <v>113</v>
      </c>
      <c r="F594" s="42">
        <f t="shared" ref="F594:H597" si="148">F595</f>
        <v>2338.3000000000002</v>
      </c>
      <c r="G594" s="42">
        <f t="shared" si="148"/>
        <v>1585.3</v>
      </c>
      <c r="H594" s="42">
        <f t="shared" si="148"/>
        <v>1585.3</v>
      </c>
    </row>
    <row r="595" spans="1:8" ht="90">
      <c r="A595" s="5" t="s">
        <v>111</v>
      </c>
      <c r="B595" s="5" t="s">
        <v>89</v>
      </c>
      <c r="C595" s="73" t="s">
        <v>36</v>
      </c>
      <c r="D595" s="3"/>
      <c r="E595" s="142" t="s">
        <v>624</v>
      </c>
      <c r="F595" s="96">
        <f t="shared" si="148"/>
        <v>2338.3000000000002</v>
      </c>
      <c r="G595" s="96">
        <f t="shared" si="148"/>
        <v>1585.3</v>
      </c>
      <c r="H595" s="96">
        <f t="shared" si="148"/>
        <v>1585.3</v>
      </c>
    </row>
    <row r="596" spans="1:8" ht="26.25">
      <c r="A596" s="16" t="s">
        <v>111</v>
      </c>
      <c r="B596" s="16" t="s">
        <v>89</v>
      </c>
      <c r="C596" s="52" t="s">
        <v>38</v>
      </c>
      <c r="D596" s="3"/>
      <c r="E596" s="46" t="s">
        <v>81</v>
      </c>
      <c r="F596" s="93">
        <f t="shared" si="148"/>
        <v>2338.3000000000002</v>
      </c>
      <c r="G596" s="93">
        <f t="shared" si="148"/>
        <v>1585.3</v>
      </c>
      <c r="H596" s="93">
        <f t="shared" si="148"/>
        <v>1585.3</v>
      </c>
    </row>
    <row r="597" spans="1:8" ht="26.25">
      <c r="A597" s="16" t="s">
        <v>111</v>
      </c>
      <c r="B597" s="16" t="s">
        <v>89</v>
      </c>
      <c r="C597" s="79">
        <v>1320225100</v>
      </c>
      <c r="D597" s="3"/>
      <c r="E597" s="99" t="s">
        <v>369</v>
      </c>
      <c r="F597" s="41">
        <f t="shared" si="148"/>
        <v>2338.3000000000002</v>
      </c>
      <c r="G597" s="41">
        <f t="shared" si="148"/>
        <v>1585.3</v>
      </c>
      <c r="H597" s="41">
        <f t="shared" si="148"/>
        <v>1585.3</v>
      </c>
    </row>
    <row r="598" spans="1:8" ht="25.5">
      <c r="A598" s="16" t="s">
        <v>111</v>
      </c>
      <c r="B598" s="16" t="s">
        <v>89</v>
      </c>
      <c r="C598" s="79">
        <v>1320225100</v>
      </c>
      <c r="D598" s="82" t="s">
        <v>282</v>
      </c>
      <c r="E598" s="98" t="s">
        <v>283</v>
      </c>
      <c r="F598" s="39">
        <f>1585.3+753</f>
        <v>2338.3000000000002</v>
      </c>
      <c r="G598" s="39">
        <v>1585.3</v>
      </c>
      <c r="H598" s="39">
        <v>1585.3</v>
      </c>
    </row>
    <row r="599" spans="1:8" s="37" customFormat="1" ht="14.25">
      <c r="A599" s="35" t="s">
        <v>111</v>
      </c>
      <c r="B599" s="35" t="s">
        <v>94</v>
      </c>
      <c r="C599" s="35"/>
      <c r="D599" s="35"/>
      <c r="E599" s="45" t="s">
        <v>117</v>
      </c>
      <c r="F599" s="42">
        <f>F600+F604+F608</f>
        <v>1890</v>
      </c>
      <c r="G599" s="42">
        <f t="shared" ref="G599:H599" si="149">G600+G604+G608</f>
        <v>1790</v>
      </c>
      <c r="H599" s="42">
        <f t="shared" si="149"/>
        <v>1790</v>
      </c>
    </row>
    <row r="600" spans="1:8" s="37" customFormat="1" ht="77.25">
      <c r="A600" s="5" t="s">
        <v>111</v>
      </c>
      <c r="B600" s="5" t="s">
        <v>94</v>
      </c>
      <c r="C600" s="21" t="s">
        <v>74</v>
      </c>
      <c r="D600" s="35"/>
      <c r="E600" s="64" t="s">
        <v>610</v>
      </c>
      <c r="F600" s="65">
        <f t="shared" ref="F600:H601" si="150">F601</f>
        <v>1152</v>
      </c>
      <c r="G600" s="65">
        <f t="shared" si="150"/>
        <v>1152</v>
      </c>
      <c r="H600" s="65">
        <f t="shared" si="150"/>
        <v>1152</v>
      </c>
    </row>
    <row r="601" spans="1:8" s="37" customFormat="1" ht="27" customHeight="1">
      <c r="A601" s="16" t="s">
        <v>111</v>
      </c>
      <c r="B601" s="16" t="s">
        <v>94</v>
      </c>
      <c r="C601" s="52" t="s">
        <v>441</v>
      </c>
      <c r="D601" s="82"/>
      <c r="E601" s="46" t="s">
        <v>440</v>
      </c>
      <c r="F601" s="58">
        <f t="shared" si="150"/>
        <v>1152</v>
      </c>
      <c r="G601" s="58">
        <f t="shared" si="150"/>
        <v>1152</v>
      </c>
      <c r="H601" s="58">
        <f t="shared" si="150"/>
        <v>1152</v>
      </c>
    </row>
    <row r="602" spans="1:8" s="37" customFormat="1" ht="103.5" customHeight="1">
      <c r="A602" s="16" t="s">
        <v>111</v>
      </c>
      <c r="B602" s="16" t="s">
        <v>94</v>
      </c>
      <c r="C602" s="80">
        <v>140210560</v>
      </c>
      <c r="D602" s="82"/>
      <c r="E602" s="98" t="s">
        <v>183</v>
      </c>
      <c r="F602" s="41">
        <f>F603</f>
        <v>1152</v>
      </c>
      <c r="G602" s="41">
        <f>G603</f>
        <v>1152</v>
      </c>
      <c r="H602" s="41">
        <f>H603</f>
        <v>1152</v>
      </c>
    </row>
    <row r="603" spans="1:8" s="37" customFormat="1" ht="25.5">
      <c r="A603" s="16" t="s">
        <v>111</v>
      </c>
      <c r="B603" s="16" t="s">
        <v>94</v>
      </c>
      <c r="C603" s="80">
        <v>140210560</v>
      </c>
      <c r="D603" s="82" t="s">
        <v>282</v>
      </c>
      <c r="E603" s="98" t="s">
        <v>283</v>
      </c>
      <c r="F603" s="39">
        <v>1152</v>
      </c>
      <c r="G603" s="39">
        <v>1152</v>
      </c>
      <c r="H603" s="39">
        <v>1152</v>
      </c>
    </row>
    <row r="604" spans="1:8" s="37" customFormat="1" ht="90">
      <c r="A604" s="5" t="s">
        <v>111</v>
      </c>
      <c r="B604" s="5" t="s">
        <v>94</v>
      </c>
      <c r="C604" s="73" t="s">
        <v>36</v>
      </c>
      <c r="D604" s="3"/>
      <c r="E604" s="142" t="s">
        <v>624</v>
      </c>
      <c r="F604" s="59">
        <f t="shared" ref="F604:H605" si="151">F605</f>
        <v>688</v>
      </c>
      <c r="G604" s="59">
        <f t="shared" si="151"/>
        <v>638</v>
      </c>
      <c r="H604" s="59">
        <f t="shared" si="151"/>
        <v>638</v>
      </c>
    </row>
    <row r="605" spans="1:8" s="37" customFormat="1" ht="25.5">
      <c r="A605" s="47" t="s">
        <v>111</v>
      </c>
      <c r="B605" s="47" t="s">
        <v>94</v>
      </c>
      <c r="C605" s="52" t="s">
        <v>38</v>
      </c>
      <c r="D605" s="16"/>
      <c r="E605" s="46" t="s">
        <v>81</v>
      </c>
      <c r="F605" s="93">
        <f>F606</f>
        <v>688</v>
      </c>
      <c r="G605" s="93">
        <f t="shared" si="151"/>
        <v>638</v>
      </c>
      <c r="H605" s="93">
        <f t="shared" si="151"/>
        <v>638</v>
      </c>
    </row>
    <row r="606" spans="1:8" s="37" customFormat="1" ht="63.75">
      <c r="A606" s="16" t="s">
        <v>111</v>
      </c>
      <c r="B606" s="16" t="s">
        <v>94</v>
      </c>
      <c r="C606" s="79">
        <v>1320127100</v>
      </c>
      <c r="D606" s="16"/>
      <c r="E606" s="98" t="s">
        <v>3</v>
      </c>
      <c r="F606" s="41">
        <f t="shared" ref="F606:H606" si="152">F607</f>
        <v>688</v>
      </c>
      <c r="G606" s="41">
        <f t="shared" si="152"/>
        <v>638</v>
      </c>
      <c r="H606" s="41">
        <f t="shared" si="152"/>
        <v>638</v>
      </c>
    </row>
    <row r="607" spans="1:8" s="37" customFormat="1" ht="76.5">
      <c r="A607" s="16" t="s">
        <v>111</v>
      </c>
      <c r="B607" s="16" t="s">
        <v>94</v>
      </c>
      <c r="C607" s="79">
        <v>1320127100</v>
      </c>
      <c r="D607" s="16" t="s">
        <v>19</v>
      </c>
      <c r="E607" s="99" t="s">
        <v>367</v>
      </c>
      <c r="F607" s="41">
        <v>688</v>
      </c>
      <c r="G607" s="41">
        <v>638</v>
      </c>
      <c r="H607" s="41">
        <v>638</v>
      </c>
    </row>
    <row r="608" spans="1:8" s="37" customFormat="1" ht="25.5">
      <c r="A608" s="5" t="s">
        <v>111</v>
      </c>
      <c r="B608" s="5" t="s">
        <v>94</v>
      </c>
      <c r="C608" s="83">
        <v>9900000000</v>
      </c>
      <c r="D608" s="5"/>
      <c r="E608" s="84" t="s">
        <v>145</v>
      </c>
      <c r="F608" s="62">
        <f>F609</f>
        <v>50</v>
      </c>
      <c r="G608" s="62">
        <f t="shared" ref="G608:H608" si="153">G609</f>
        <v>0</v>
      </c>
      <c r="H608" s="62">
        <f t="shared" si="153"/>
        <v>0</v>
      </c>
    </row>
    <row r="609" spans="1:8" s="37" customFormat="1" ht="14.25">
      <c r="A609" s="16" t="s">
        <v>111</v>
      </c>
      <c r="B609" s="16" t="s">
        <v>94</v>
      </c>
      <c r="C609" s="79">
        <v>9920000000</v>
      </c>
      <c r="D609" s="35"/>
      <c r="E609" s="126" t="s">
        <v>5</v>
      </c>
      <c r="F609" s="94">
        <f t="shared" ref="F609:H610" si="154">F610</f>
        <v>50</v>
      </c>
      <c r="G609" s="94">
        <f t="shared" si="154"/>
        <v>0</v>
      </c>
      <c r="H609" s="94">
        <f t="shared" si="154"/>
        <v>0</v>
      </c>
    </row>
    <row r="610" spans="1:8" s="37" customFormat="1" ht="25.5">
      <c r="A610" s="16" t="s">
        <v>111</v>
      </c>
      <c r="B610" s="16" t="s">
        <v>94</v>
      </c>
      <c r="C610" s="79">
        <v>9920026100</v>
      </c>
      <c r="D610" s="21"/>
      <c r="E610" s="99" t="s">
        <v>11</v>
      </c>
      <c r="F610" s="39">
        <f t="shared" si="154"/>
        <v>50</v>
      </c>
      <c r="G610" s="39">
        <f t="shared" si="154"/>
        <v>0</v>
      </c>
      <c r="H610" s="39">
        <f t="shared" si="154"/>
        <v>0</v>
      </c>
    </row>
    <row r="611" spans="1:8" s="37" customFormat="1" ht="14.25">
      <c r="A611" s="16" t="s">
        <v>111</v>
      </c>
      <c r="B611" s="16" t="s">
        <v>94</v>
      </c>
      <c r="C611" s="79">
        <v>9920026100</v>
      </c>
      <c r="D611" s="82" t="s">
        <v>82</v>
      </c>
      <c r="E611" s="98" t="s">
        <v>83</v>
      </c>
      <c r="F611" s="39">
        <v>50</v>
      </c>
      <c r="G611" s="39">
        <v>0</v>
      </c>
      <c r="H611" s="39">
        <v>0</v>
      </c>
    </row>
    <row r="612" spans="1:8" ht="14.25">
      <c r="A612" s="35" t="s">
        <v>111</v>
      </c>
      <c r="B612" s="35" t="s">
        <v>95</v>
      </c>
      <c r="C612" s="35"/>
      <c r="D612" s="38"/>
      <c r="E612" s="50" t="s">
        <v>13</v>
      </c>
      <c r="F612" s="42">
        <f t="shared" ref="F612:G612" si="155">F613+F618</f>
        <v>52967.3</v>
      </c>
      <c r="G612" s="42">
        <f t="shared" si="155"/>
        <v>21412.1</v>
      </c>
      <c r="H612" s="42">
        <f t="shared" ref="H612" si="156">H613+H618</f>
        <v>24815.3</v>
      </c>
    </row>
    <row r="613" spans="1:8" ht="76.5">
      <c r="A613" s="16" t="s">
        <v>111</v>
      </c>
      <c r="B613" s="16" t="s">
        <v>95</v>
      </c>
      <c r="C613" s="21" t="s">
        <v>74</v>
      </c>
      <c r="D613" s="35"/>
      <c r="E613" s="64" t="s">
        <v>610</v>
      </c>
      <c r="F613" s="96">
        <f t="shared" ref="F613:H614" si="157">F614</f>
        <v>13068.1</v>
      </c>
      <c r="G613" s="96">
        <f t="shared" si="157"/>
        <v>13068.1</v>
      </c>
      <c r="H613" s="96">
        <f t="shared" si="157"/>
        <v>13068.1</v>
      </c>
    </row>
    <row r="614" spans="1:8" ht="25.5">
      <c r="A614" s="16" t="s">
        <v>111</v>
      </c>
      <c r="B614" s="16" t="s">
        <v>95</v>
      </c>
      <c r="C614" s="52" t="s">
        <v>75</v>
      </c>
      <c r="D614" s="35"/>
      <c r="E614" s="46" t="s">
        <v>400</v>
      </c>
      <c r="F614" s="93">
        <f t="shared" si="157"/>
        <v>13068.1</v>
      </c>
      <c r="G614" s="93">
        <f t="shared" si="157"/>
        <v>13068.1</v>
      </c>
      <c r="H614" s="93">
        <f t="shared" si="157"/>
        <v>13068.1</v>
      </c>
    </row>
    <row r="615" spans="1:8" ht="76.5">
      <c r="A615" s="16" t="s">
        <v>111</v>
      </c>
      <c r="B615" s="16" t="s">
        <v>95</v>
      </c>
      <c r="C615" s="57" t="s">
        <v>399</v>
      </c>
      <c r="D615" s="21"/>
      <c r="E615" s="98" t="s">
        <v>398</v>
      </c>
      <c r="F615" s="94">
        <f>F616+F617</f>
        <v>13068.1</v>
      </c>
      <c r="G615" s="94">
        <f>G616+G617</f>
        <v>13068.1</v>
      </c>
      <c r="H615" s="94">
        <f>H616+H617</f>
        <v>13068.1</v>
      </c>
    </row>
    <row r="616" spans="1:8" ht="38.25">
      <c r="A616" s="16" t="s">
        <v>111</v>
      </c>
      <c r="B616" s="16" t="s">
        <v>95</v>
      </c>
      <c r="C616" s="57" t="s">
        <v>399</v>
      </c>
      <c r="D616" s="82" t="s">
        <v>212</v>
      </c>
      <c r="E616" s="98" t="s">
        <v>213</v>
      </c>
      <c r="F616" s="94">
        <v>330</v>
      </c>
      <c r="G616" s="94">
        <v>330</v>
      </c>
      <c r="H616" s="94">
        <v>330</v>
      </c>
    </row>
    <row r="617" spans="1:8" ht="38.25">
      <c r="A617" s="16" t="s">
        <v>111</v>
      </c>
      <c r="B617" s="16" t="s">
        <v>95</v>
      </c>
      <c r="C617" s="57" t="s">
        <v>399</v>
      </c>
      <c r="D617" s="82" t="s">
        <v>263</v>
      </c>
      <c r="E617" s="98" t="s">
        <v>252</v>
      </c>
      <c r="F617" s="94">
        <v>12738.1</v>
      </c>
      <c r="G617" s="94">
        <v>12738.1</v>
      </c>
      <c r="H617" s="94">
        <v>12738.1</v>
      </c>
    </row>
    <row r="618" spans="1:8" ht="90">
      <c r="A618" s="5" t="s">
        <v>111</v>
      </c>
      <c r="B618" s="5" t="s">
        <v>95</v>
      </c>
      <c r="C618" s="73" t="s">
        <v>36</v>
      </c>
      <c r="D618" s="3"/>
      <c r="E618" s="142" t="s">
        <v>624</v>
      </c>
      <c r="F618" s="59">
        <f t="shared" ref="F618:H618" si="158">F619</f>
        <v>39899.200000000004</v>
      </c>
      <c r="G618" s="59">
        <f t="shared" si="158"/>
        <v>8344</v>
      </c>
      <c r="H618" s="59">
        <f t="shared" si="158"/>
        <v>11747.199999999999</v>
      </c>
    </row>
    <row r="619" spans="1:8" ht="25.5">
      <c r="A619" s="47" t="s">
        <v>111</v>
      </c>
      <c r="B619" s="47" t="s">
        <v>95</v>
      </c>
      <c r="C619" s="52" t="s">
        <v>37</v>
      </c>
      <c r="D619" s="35"/>
      <c r="E619" s="46" t="s">
        <v>84</v>
      </c>
      <c r="F619" s="93">
        <f>F620+F622+F624+F626+F628</f>
        <v>39899.200000000004</v>
      </c>
      <c r="G619" s="93">
        <f t="shared" ref="G619:H619" si="159">G620+G622+G624+G626+G628</f>
        <v>8344</v>
      </c>
      <c r="H619" s="93">
        <f t="shared" si="159"/>
        <v>11747.199999999999</v>
      </c>
    </row>
    <row r="620" spans="1:8" ht="39">
      <c r="A620" s="16" t="s">
        <v>111</v>
      </c>
      <c r="B620" s="16" t="s">
        <v>95</v>
      </c>
      <c r="C620" s="21" t="s">
        <v>309</v>
      </c>
      <c r="D620" s="3"/>
      <c r="E620" s="128" t="s">
        <v>203</v>
      </c>
      <c r="F620" s="41">
        <f t="shared" ref="F620:H620" si="160">F621</f>
        <v>686.2</v>
      </c>
      <c r="G620" s="41">
        <f t="shared" si="160"/>
        <v>686.2</v>
      </c>
      <c r="H620" s="41">
        <f t="shared" si="160"/>
        <v>857.8</v>
      </c>
    </row>
    <row r="621" spans="1:8">
      <c r="A621" s="16" t="s">
        <v>111</v>
      </c>
      <c r="B621" s="16" t="s">
        <v>95</v>
      </c>
      <c r="C621" s="21" t="s">
        <v>309</v>
      </c>
      <c r="D621" s="82" t="s">
        <v>251</v>
      </c>
      <c r="E621" s="102" t="s">
        <v>250</v>
      </c>
      <c r="F621" s="41">
        <v>686.2</v>
      </c>
      <c r="G621" s="41">
        <v>686.2</v>
      </c>
      <c r="H621" s="41">
        <v>857.8</v>
      </c>
    </row>
    <row r="622" spans="1:8" ht="38.25">
      <c r="A622" s="16" t="s">
        <v>111</v>
      </c>
      <c r="B622" s="16" t="s">
        <v>95</v>
      </c>
      <c r="C622" s="21" t="s">
        <v>713</v>
      </c>
      <c r="D622" s="82"/>
      <c r="E622" s="124" t="s">
        <v>714</v>
      </c>
      <c r="F622" s="41">
        <f>F623</f>
        <v>2744.9</v>
      </c>
      <c r="G622" s="41">
        <f t="shared" ref="G622:H622" si="161">G623</f>
        <v>0</v>
      </c>
      <c r="H622" s="41">
        <f t="shared" si="161"/>
        <v>0</v>
      </c>
    </row>
    <row r="623" spans="1:8">
      <c r="A623" s="16" t="s">
        <v>111</v>
      </c>
      <c r="B623" s="16" t="s">
        <v>95</v>
      </c>
      <c r="C623" s="21" t="s">
        <v>713</v>
      </c>
      <c r="D623" s="82" t="s">
        <v>251</v>
      </c>
      <c r="E623" s="102" t="s">
        <v>250</v>
      </c>
      <c r="F623" s="41">
        <v>2744.9</v>
      </c>
      <c r="G623" s="41">
        <v>0</v>
      </c>
      <c r="H623" s="41">
        <v>0</v>
      </c>
    </row>
    <row r="624" spans="1:8" ht="51">
      <c r="A624" s="16" t="s">
        <v>111</v>
      </c>
      <c r="B624" s="16" t="s">
        <v>95</v>
      </c>
      <c r="C624" s="79">
        <v>1310210820</v>
      </c>
      <c r="D624" s="16"/>
      <c r="E624" s="98" t="s">
        <v>169</v>
      </c>
      <c r="F624" s="39">
        <f>F625</f>
        <v>14410.7</v>
      </c>
      <c r="G624" s="39">
        <f>G625</f>
        <v>0</v>
      </c>
      <c r="H624" s="39">
        <f>H625</f>
        <v>0</v>
      </c>
    </row>
    <row r="625" spans="1:8">
      <c r="A625" s="16" t="s">
        <v>111</v>
      </c>
      <c r="B625" s="16" t="s">
        <v>95</v>
      </c>
      <c r="C625" s="79">
        <v>1310210820</v>
      </c>
      <c r="D625" s="82" t="s">
        <v>251</v>
      </c>
      <c r="E625" s="102" t="s">
        <v>250</v>
      </c>
      <c r="F625" s="39">
        <f>4803.6+9607.1</f>
        <v>14410.7</v>
      </c>
      <c r="G625" s="39">
        <v>0</v>
      </c>
      <c r="H625" s="39">
        <v>0</v>
      </c>
    </row>
    <row r="626" spans="1:8" ht="38.25">
      <c r="A626" s="16" t="s">
        <v>111</v>
      </c>
      <c r="B626" s="16" t="s">
        <v>95</v>
      </c>
      <c r="C626" s="79" t="s">
        <v>342</v>
      </c>
      <c r="D626" s="16"/>
      <c r="E626" s="98" t="s">
        <v>316</v>
      </c>
      <c r="F626" s="39">
        <f>F627</f>
        <v>8005.9</v>
      </c>
      <c r="G626" s="39">
        <f>G627</f>
        <v>4803.6000000000004</v>
      </c>
      <c r="H626" s="39">
        <f>H627</f>
        <v>8005.9</v>
      </c>
    </row>
    <row r="627" spans="1:8">
      <c r="A627" s="16" t="s">
        <v>111</v>
      </c>
      <c r="B627" s="16" t="s">
        <v>95</v>
      </c>
      <c r="C627" s="79" t="s">
        <v>342</v>
      </c>
      <c r="D627" s="82" t="s">
        <v>251</v>
      </c>
      <c r="E627" s="102" t="s">
        <v>250</v>
      </c>
      <c r="F627" s="39">
        <f>17613-9607.1</f>
        <v>8005.9</v>
      </c>
      <c r="G627" s="39">
        <v>4803.6000000000004</v>
      </c>
      <c r="H627" s="39">
        <v>8005.9</v>
      </c>
    </row>
    <row r="628" spans="1:8" ht="51">
      <c r="A628" s="16" t="s">
        <v>111</v>
      </c>
      <c r="B628" s="16" t="s">
        <v>95</v>
      </c>
      <c r="C628" s="74" t="s">
        <v>336</v>
      </c>
      <c r="D628" s="16"/>
      <c r="E628" s="98" t="s">
        <v>323</v>
      </c>
      <c r="F628" s="94">
        <f t="shared" ref="F628:H628" si="162">F629</f>
        <v>14051.5</v>
      </c>
      <c r="G628" s="94">
        <f t="shared" si="162"/>
        <v>2854.2000000000003</v>
      </c>
      <c r="H628" s="94">
        <f t="shared" si="162"/>
        <v>2883.5</v>
      </c>
    </row>
    <row r="629" spans="1:8" ht="38.25">
      <c r="A629" s="16" t="s">
        <v>111</v>
      </c>
      <c r="B629" s="16" t="s">
        <v>95</v>
      </c>
      <c r="C629" s="74" t="s">
        <v>336</v>
      </c>
      <c r="D629" s="82" t="s">
        <v>263</v>
      </c>
      <c r="E629" s="98" t="s">
        <v>252</v>
      </c>
      <c r="F629" s="94">
        <f>2810.3+11241.2</f>
        <v>14051.5</v>
      </c>
      <c r="G629" s="94">
        <f>2810.3+43.9</f>
        <v>2854.2000000000003</v>
      </c>
      <c r="H629" s="94">
        <v>2883.5</v>
      </c>
    </row>
    <row r="630" spans="1:8" ht="15.75">
      <c r="A630" s="4" t="s">
        <v>103</v>
      </c>
      <c r="B630" s="3"/>
      <c r="C630" s="3"/>
      <c r="D630" s="3"/>
      <c r="E630" s="49" t="s">
        <v>124</v>
      </c>
      <c r="F630" s="92">
        <f t="shared" ref="F630:H632" si="163">F631</f>
        <v>5986</v>
      </c>
      <c r="G630" s="92">
        <f t="shared" si="163"/>
        <v>496.29999999999995</v>
      </c>
      <c r="H630" s="92">
        <f t="shared" si="163"/>
        <v>496.29999999999995</v>
      </c>
    </row>
    <row r="631" spans="1:8" s="37" customFormat="1" ht="14.25">
      <c r="A631" s="35" t="s">
        <v>103</v>
      </c>
      <c r="B631" s="35" t="s">
        <v>90</v>
      </c>
      <c r="C631" s="35"/>
      <c r="D631" s="35"/>
      <c r="E631" s="46" t="s">
        <v>6</v>
      </c>
      <c r="F631" s="42">
        <f t="shared" si="163"/>
        <v>5986</v>
      </c>
      <c r="G631" s="42">
        <f t="shared" si="163"/>
        <v>496.29999999999995</v>
      </c>
      <c r="H631" s="42">
        <f t="shared" si="163"/>
        <v>496.29999999999995</v>
      </c>
    </row>
    <row r="632" spans="1:8" s="37" customFormat="1" ht="89.25">
      <c r="A632" s="16" t="s">
        <v>103</v>
      </c>
      <c r="B632" s="16" t="s">
        <v>90</v>
      </c>
      <c r="C632" s="73" t="s">
        <v>60</v>
      </c>
      <c r="D632" s="35"/>
      <c r="E632" s="53" t="s">
        <v>611</v>
      </c>
      <c r="F632" s="62">
        <f t="shared" si="163"/>
        <v>5986</v>
      </c>
      <c r="G632" s="62">
        <f t="shared" si="163"/>
        <v>496.29999999999995</v>
      </c>
      <c r="H632" s="62">
        <f t="shared" si="163"/>
        <v>496.29999999999995</v>
      </c>
    </row>
    <row r="633" spans="1:8" s="37" customFormat="1" ht="38.25">
      <c r="A633" s="47" t="s">
        <v>103</v>
      </c>
      <c r="B633" s="47" t="s">
        <v>90</v>
      </c>
      <c r="C633" s="52" t="s">
        <v>44</v>
      </c>
      <c r="D633" s="35"/>
      <c r="E633" s="48" t="s">
        <v>202</v>
      </c>
      <c r="F633" s="58">
        <f>F634+F637+F640+F642+F644</f>
        <v>5986</v>
      </c>
      <c r="G633" s="58">
        <f>G634+G637+G640+G642</f>
        <v>496.29999999999995</v>
      </c>
      <c r="H633" s="58">
        <f>H634+H637+H640+H642</f>
        <v>496.29999999999995</v>
      </c>
    </row>
    <row r="634" spans="1:8" s="37" customFormat="1" ht="89.25">
      <c r="A634" s="16" t="s">
        <v>103</v>
      </c>
      <c r="B634" s="16" t="s">
        <v>90</v>
      </c>
      <c r="C634" s="21" t="s">
        <v>466</v>
      </c>
      <c r="D634" s="21"/>
      <c r="E634" s="99" t="s">
        <v>177</v>
      </c>
      <c r="F634" s="39">
        <f>SUM(F635:F636)</f>
        <v>565.80000000000007</v>
      </c>
      <c r="G634" s="39">
        <f t="shared" ref="G634:H634" si="164">SUM(G635:G636)</f>
        <v>415.7</v>
      </c>
      <c r="H634" s="39">
        <f t="shared" si="164"/>
        <v>415.7</v>
      </c>
    </row>
    <row r="635" spans="1:8" s="37" customFormat="1" ht="25.5">
      <c r="A635" s="16" t="s">
        <v>103</v>
      </c>
      <c r="B635" s="16" t="s">
        <v>90</v>
      </c>
      <c r="C635" s="21" t="s">
        <v>466</v>
      </c>
      <c r="D635" s="82" t="s">
        <v>65</v>
      </c>
      <c r="E635" s="55" t="s">
        <v>131</v>
      </c>
      <c r="F635" s="39">
        <f>130+0.1-6</f>
        <v>124.1</v>
      </c>
      <c r="G635" s="39">
        <v>0</v>
      </c>
      <c r="H635" s="39">
        <v>0</v>
      </c>
    </row>
    <row r="636" spans="1:8" s="37" customFormat="1" ht="38.25">
      <c r="A636" s="16" t="s">
        <v>103</v>
      </c>
      <c r="B636" s="16" t="s">
        <v>90</v>
      </c>
      <c r="C636" s="21" t="s">
        <v>466</v>
      </c>
      <c r="D636" s="82" t="s">
        <v>212</v>
      </c>
      <c r="E636" s="98" t="s">
        <v>213</v>
      </c>
      <c r="F636" s="39">
        <f>543.7-130+22+6</f>
        <v>441.70000000000005</v>
      </c>
      <c r="G636" s="39">
        <v>415.7</v>
      </c>
      <c r="H636" s="39">
        <v>415.7</v>
      </c>
    </row>
    <row r="637" spans="1:8" s="37" customFormat="1" ht="63.75">
      <c r="A637" s="16" t="s">
        <v>103</v>
      </c>
      <c r="B637" s="16" t="s">
        <v>90</v>
      </c>
      <c r="C637" s="21" t="s">
        <v>467</v>
      </c>
      <c r="D637" s="21"/>
      <c r="E637" s="99" t="s">
        <v>62</v>
      </c>
      <c r="F637" s="39">
        <f>SUM(F638:F639)</f>
        <v>68.5</v>
      </c>
      <c r="G637" s="39">
        <f>SUM(G638:G639)</f>
        <v>80.599999999999994</v>
      </c>
      <c r="H637" s="39">
        <f>SUM(H638:H639)</f>
        <v>80.599999999999994</v>
      </c>
    </row>
    <row r="638" spans="1:8" s="37" customFormat="1" ht="25.5">
      <c r="A638" s="16" t="s">
        <v>103</v>
      </c>
      <c r="B638" s="16" t="s">
        <v>90</v>
      </c>
      <c r="C638" s="21" t="s">
        <v>467</v>
      </c>
      <c r="D638" s="82" t="s">
        <v>65</v>
      </c>
      <c r="E638" s="55" t="s">
        <v>131</v>
      </c>
      <c r="F638" s="39">
        <f>39.6+8.4</f>
        <v>48</v>
      </c>
      <c r="G638" s="39">
        <v>39.6</v>
      </c>
      <c r="H638" s="39">
        <v>39.6</v>
      </c>
    </row>
    <row r="639" spans="1:8" ht="38.25">
      <c r="A639" s="16" t="s">
        <v>103</v>
      </c>
      <c r="B639" s="16" t="s">
        <v>90</v>
      </c>
      <c r="C639" s="21" t="s">
        <v>467</v>
      </c>
      <c r="D639" s="82" t="s">
        <v>212</v>
      </c>
      <c r="E639" s="98" t="s">
        <v>213</v>
      </c>
      <c r="F639" s="39">
        <f>51-30.5</f>
        <v>20.5</v>
      </c>
      <c r="G639" s="39">
        <v>41</v>
      </c>
      <c r="H639" s="39">
        <v>41</v>
      </c>
    </row>
    <row r="640" spans="1:8" ht="27" customHeight="1">
      <c r="A640" s="16" t="s">
        <v>103</v>
      </c>
      <c r="B640" s="16" t="s">
        <v>90</v>
      </c>
      <c r="C640" s="21" t="s">
        <v>719</v>
      </c>
      <c r="D640" s="82"/>
      <c r="E640" s="98" t="s">
        <v>718</v>
      </c>
      <c r="F640" s="39">
        <f>F641</f>
        <v>5101.7</v>
      </c>
      <c r="G640" s="39">
        <f t="shared" ref="G640:H640" si="165">G641</f>
        <v>0</v>
      </c>
      <c r="H640" s="39">
        <f t="shared" si="165"/>
        <v>0</v>
      </c>
    </row>
    <row r="641" spans="1:8" ht="38.25">
      <c r="A641" s="16" t="s">
        <v>103</v>
      </c>
      <c r="B641" s="16" t="s">
        <v>90</v>
      </c>
      <c r="C641" s="21" t="s">
        <v>719</v>
      </c>
      <c r="D641" s="82" t="s">
        <v>212</v>
      </c>
      <c r="E641" s="98" t="s">
        <v>213</v>
      </c>
      <c r="F641" s="39">
        <v>5101.7</v>
      </c>
      <c r="G641" s="39">
        <v>0</v>
      </c>
      <c r="H641" s="39">
        <v>0</v>
      </c>
    </row>
    <row r="642" spans="1:8" ht="51">
      <c r="A642" s="16" t="s">
        <v>103</v>
      </c>
      <c r="B642" s="16" t="s">
        <v>90</v>
      </c>
      <c r="C642" s="21" t="s">
        <v>676</v>
      </c>
      <c r="D642" s="82"/>
      <c r="E642" s="98" t="s">
        <v>677</v>
      </c>
      <c r="F642" s="39">
        <f t="shared" ref="F642:H642" si="166">F643</f>
        <v>50</v>
      </c>
      <c r="G642" s="39">
        <f t="shared" si="166"/>
        <v>0</v>
      </c>
      <c r="H642" s="39">
        <f t="shared" si="166"/>
        <v>0</v>
      </c>
    </row>
    <row r="643" spans="1:8" ht="38.25">
      <c r="A643" s="16" t="s">
        <v>103</v>
      </c>
      <c r="B643" s="16" t="s">
        <v>90</v>
      </c>
      <c r="C643" s="21" t="s">
        <v>676</v>
      </c>
      <c r="D643" s="82" t="s">
        <v>212</v>
      </c>
      <c r="E643" s="98" t="s">
        <v>213</v>
      </c>
      <c r="F643" s="39">
        <v>50</v>
      </c>
      <c r="G643" s="39">
        <v>0</v>
      </c>
      <c r="H643" s="39">
        <v>0</v>
      </c>
    </row>
    <row r="644" spans="1:8" ht="51">
      <c r="A644" s="16" t="s">
        <v>103</v>
      </c>
      <c r="B644" s="16" t="s">
        <v>90</v>
      </c>
      <c r="C644" s="21" t="s">
        <v>731</v>
      </c>
      <c r="D644" s="82"/>
      <c r="E644" s="98" t="s">
        <v>732</v>
      </c>
      <c r="F644" s="39">
        <f>F645</f>
        <v>200</v>
      </c>
      <c r="G644" s="39">
        <f t="shared" ref="G644:H644" si="167">G645</f>
        <v>0</v>
      </c>
      <c r="H644" s="39">
        <f t="shared" si="167"/>
        <v>0</v>
      </c>
    </row>
    <row r="645" spans="1:8" ht="38.25">
      <c r="A645" s="16" t="s">
        <v>103</v>
      </c>
      <c r="B645" s="16" t="s">
        <v>90</v>
      </c>
      <c r="C645" s="21" t="s">
        <v>731</v>
      </c>
      <c r="D645" s="82" t="s">
        <v>212</v>
      </c>
      <c r="E645" s="98" t="s">
        <v>213</v>
      </c>
      <c r="F645" s="39">
        <v>200</v>
      </c>
      <c r="G645" s="39">
        <v>0</v>
      </c>
      <c r="H645" s="39">
        <v>0</v>
      </c>
    </row>
    <row r="646" spans="1:8" ht="30">
      <c r="A646" s="4" t="s">
        <v>123</v>
      </c>
      <c r="B646" s="3"/>
      <c r="C646" s="3"/>
      <c r="D646" s="3"/>
      <c r="E646" s="49" t="s">
        <v>8</v>
      </c>
      <c r="F646" s="92">
        <f t="shared" ref="F646:H648" si="168">F647</f>
        <v>3836.5</v>
      </c>
      <c r="G646" s="92">
        <f t="shared" si="168"/>
        <v>3536.5</v>
      </c>
      <c r="H646" s="92">
        <f t="shared" si="168"/>
        <v>3536.5</v>
      </c>
    </row>
    <row r="647" spans="1:8" ht="28.5">
      <c r="A647" s="35" t="s">
        <v>123</v>
      </c>
      <c r="B647" s="35" t="s">
        <v>95</v>
      </c>
      <c r="C647" s="35"/>
      <c r="D647" s="35"/>
      <c r="E647" s="50" t="s">
        <v>14</v>
      </c>
      <c r="F647" s="40">
        <f t="shared" si="168"/>
        <v>3836.5</v>
      </c>
      <c r="G647" s="40">
        <f t="shared" si="168"/>
        <v>3536.5</v>
      </c>
      <c r="H647" s="40">
        <f t="shared" si="168"/>
        <v>3536.5</v>
      </c>
    </row>
    <row r="648" spans="1:8" s="20" customFormat="1" ht="90">
      <c r="A648" s="16" t="s">
        <v>123</v>
      </c>
      <c r="B648" s="16" t="s">
        <v>95</v>
      </c>
      <c r="C648" s="74">
        <v>400000000</v>
      </c>
      <c r="D648" s="30"/>
      <c r="E648" s="142" t="s">
        <v>614</v>
      </c>
      <c r="F648" s="96">
        <f t="shared" si="168"/>
        <v>3836.5</v>
      </c>
      <c r="G648" s="96">
        <f t="shared" si="168"/>
        <v>3536.5</v>
      </c>
      <c r="H648" s="96">
        <f t="shared" si="168"/>
        <v>3536.5</v>
      </c>
    </row>
    <row r="649" spans="1:8" s="20" customFormat="1" ht="51.75">
      <c r="A649" s="16" t="s">
        <v>123</v>
      </c>
      <c r="B649" s="16" t="s">
        <v>95</v>
      </c>
      <c r="C649" s="75">
        <v>420000000</v>
      </c>
      <c r="D649" s="30"/>
      <c r="E649" s="46" t="s">
        <v>167</v>
      </c>
      <c r="F649" s="93">
        <f>F650+F652+F654+F656+F658</f>
        <v>3836.5</v>
      </c>
      <c r="G649" s="93">
        <f>G650+G652+G654+G656+G658</f>
        <v>3536.5</v>
      </c>
      <c r="H649" s="93">
        <f>H650+H652+H654+H656+H658</f>
        <v>3536.5</v>
      </c>
    </row>
    <row r="650" spans="1:8" s="20" customFormat="1" ht="51">
      <c r="A650" s="16" t="s">
        <v>123</v>
      </c>
      <c r="B650" s="16" t="s">
        <v>95</v>
      </c>
      <c r="C650" s="74" t="s">
        <v>492</v>
      </c>
      <c r="D650" s="16"/>
      <c r="E650" s="98" t="s">
        <v>359</v>
      </c>
      <c r="F650" s="41">
        <f>F651</f>
        <v>600</v>
      </c>
      <c r="G650" s="41">
        <f t="shared" ref="G650:H650" si="169">G651</f>
        <v>300</v>
      </c>
      <c r="H650" s="41">
        <f t="shared" si="169"/>
        <v>300</v>
      </c>
    </row>
    <row r="651" spans="1:8" s="20" customFormat="1" ht="77.25">
      <c r="A651" s="16" t="s">
        <v>123</v>
      </c>
      <c r="B651" s="16" t="s">
        <v>95</v>
      </c>
      <c r="C651" s="74" t="s">
        <v>492</v>
      </c>
      <c r="D651" s="16" t="s">
        <v>19</v>
      </c>
      <c r="E651" s="99" t="s">
        <v>367</v>
      </c>
      <c r="F651" s="41">
        <v>600</v>
      </c>
      <c r="G651" s="41">
        <v>300</v>
      </c>
      <c r="H651" s="41">
        <v>300</v>
      </c>
    </row>
    <row r="652" spans="1:8" s="20" customFormat="1" ht="66" customHeight="1">
      <c r="A652" s="16" t="s">
        <v>123</v>
      </c>
      <c r="B652" s="16" t="s">
        <v>95</v>
      </c>
      <c r="C652" s="74">
        <v>420123230</v>
      </c>
      <c r="D652" s="16"/>
      <c r="E652" s="99" t="s">
        <v>764</v>
      </c>
      <c r="F652" s="41">
        <f>F653</f>
        <v>1300</v>
      </c>
      <c r="G652" s="41">
        <f t="shared" ref="G652:H652" si="170">G653</f>
        <v>1300</v>
      </c>
      <c r="H652" s="41">
        <f t="shared" si="170"/>
        <v>1300</v>
      </c>
    </row>
    <row r="653" spans="1:8" s="20" customFormat="1" ht="38.25">
      <c r="A653" s="16" t="s">
        <v>123</v>
      </c>
      <c r="B653" s="16" t="s">
        <v>95</v>
      </c>
      <c r="C653" s="74">
        <v>420123230</v>
      </c>
      <c r="D653" s="82" t="s">
        <v>212</v>
      </c>
      <c r="E653" s="98" t="s">
        <v>213</v>
      </c>
      <c r="F653" s="41">
        <f>1200+100</f>
        <v>1300</v>
      </c>
      <c r="G653" s="41">
        <v>1300</v>
      </c>
      <c r="H653" s="41">
        <v>1300</v>
      </c>
    </row>
    <row r="654" spans="1:8" s="20" customFormat="1" ht="39">
      <c r="A654" s="16" t="s">
        <v>123</v>
      </c>
      <c r="B654" s="16" t="s">
        <v>95</v>
      </c>
      <c r="C654" s="74">
        <v>420110320</v>
      </c>
      <c r="D654" s="1"/>
      <c r="E654" s="135" t="s">
        <v>493</v>
      </c>
      <c r="F654" s="41">
        <f>F655</f>
        <v>924.4</v>
      </c>
      <c r="G654" s="41">
        <f t="shared" ref="G654:H654" si="171">G655</f>
        <v>924.4</v>
      </c>
      <c r="H654" s="41">
        <f t="shared" si="171"/>
        <v>924.4</v>
      </c>
    </row>
    <row r="655" spans="1:8" s="20" customFormat="1" ht="77.25">
      <c r="A655" s="16" t="s">
        <v>123</v>
      </c>
      <c r="B655" s="16" t="s">
        <v>95</v>
      </c>
      <c r="C655" s="74">
        <v>420110320</v>
      </c>
      <c r="D655" s="16" t="s">
        <v>19</v>
      </c>
      <c r="E655" s="99" t="s">
        <v>367</v>
      </c>
      <c r="F655" s="41">
        <f>895.5+28.9</f>
        <v>924.4</v>
      </c>
      <c r="G655" s="41">
        <f t="shared" ref="G655:H655" si="172">895.5+28.9</f>
        <v>924.4</v>
      </c>
      <c r="H655" s="41">
        <f t="shared" si="172"/>
        <v>924.4</v>
      </c>
    </row>
    <row r="656" spans="1:8" s="20" customFormat="1" ht="76.5">
      <c r="A656" s="16" t="s">
        <v>123</v>
      </c>
      <c r="B656" s="16" t="s">
        <v>95</v>
      </c>
      <c r="C656" s="74">
        <v>420223235</v>
      </c>
      <c r="D656" s="30"/>
      <c r="E656" s="98" t="s">
        <v>765</v>
      </c>
      <c r="F656" s="41">
        <f>F657</f>
        <v>575.29999999999995</v>
      </c>
      <c r="G656" s="41">
        <f>G657</f>
        <v>575.29999999999995</v>
      </c>
      <c r="H656" s="41">
        <f>H657</f>
        <v>575.29999999999995</v>
      </c>
    </row>
    <row r="657" spans="1:8" s="20" customFormat="1" ht="38.25">
      <c r="A657" s="16" t="s">
        <v>123</v>
      </c>
      <c r="B657" s="16" t="s">
        <v>95</v>
      </c>
      <c r="C657" s="74">
        <v>420223235</v>
      </c>
      <c r="D657" s="82" t="s">
        <v>212</v>
      </c>
      <c r="E657" s="98" t="s">
        <v>213</v>
      </c>
      <c r="F657" s="41">
        <v>575.29999999999995</v>
      </c>
      <c r="G657" s="41">
        <v>575.29999999999995</v>
      </c>
      <c r="H657" s="41">
        <v>575.29999999999995</v>
      </c>
    </row>
    <row r="658" spans="1:8" ht="69" customHeight="1">
      <c r="A658" s="16" t="s">
        <v>123</v>
      </c>
      <c r="B658" s="16" t="s">
        <v>95</v>
      </c>
      <c r="C658" s="74">
        <v>420223240</v>
      </c>
      <c r="D658" s="82"/>
      <c r="E658" s="98" t="s">
        <v>766</v>
      </c>
      <c r="F658" s="41">
        <f>F659</f>
        <v>436.8</v>
      </c>
      <c r="G658" s="41">
        <f t="shared" ref="G658:H658" si="173">G659</f>
        <v>436.8</v>
      </c>
      <c r="H658" s="41">
        <f t="shared" si="173"/>
        <v>436.8</v>
      </c>
    </row>
    <row r="659" spans="1:8" ht="38.25">
      <c r="A659" s="16" t="s">
        <v>123</v>
      </c>
      <c r="B659" s="16" t="s">
        <v>95</v>
      </c>
      <c r="C659" s="74">
        <v>420223240</v>
      </c>
      <c r="D659" s="82" t="s">
        <v>212</v>
      </c>
      <c r="E659" s="98" t="s">
        <v>213</v>
      </c>
      <c r="F659" s="41">
        <v>436.8</v>
      </c>
      <c r="G659" s="41">
        <v>436.8</v>
      </c>
      <c r="H659" s="41">
        <v>436.8</v>
      </c>
    </row>
    <row r="660" spans="1:8" ht="47.25">
      <c r="A660" s="4" t="s">
        <v>9</v>
      </c>
      <c r="B660" s="5"/>
      <c r="C660" s="1"/>
      <c r="D660" s="1"/>
      <c r="E660" s="10" t="s">
        <v>646</v>
      </c>
      <c r="F660" s="96">
        <f>F661</f>
        <v>25</v>
      </c>
      <c r="G660" s="96">
        <f t="shared" ref="G660:H663" si="174">G661</f>
        <v>25</v>
      </c>
      <c r="H660" s="96">
        <f t="shared" si="174"/>
        <v>0</v>
      </c>
    </row>
    <row r="661" spans="1:8" ht="25.5">
      <c r="A661" s="47" t="s">
        <v>9</v>
      </c>
      <c r="B661" s="47" t="s">
        <v>89</v>
      </c>
      <c r="C661" s="23"/>
      <c r="D661" s="23"/>
      <c r="E661" s="48" t="s">
        <v>647</v>
      </c>
      <c r="F661" s="93">
        <f>F662</f>
        <v>25</v>
      </c>
      <c r="G661" s="93">
        <f t="shared" si="174"/>
        <v>25</v>
      </c>
      <c r="H661" s="93">
        <f t="shared" si="174"/>
        <v>0</v>
      </c>
    </row>
    <row r="662" spans="1:8" ht="38.25">
      <c r="A662" s="82" t="s">
        <v>9</v>
      </c>
      <c r="B662" s="82" t="s">
        <v>89</v>
      </c>
      <c r="C662" s="82" t="s">
        <v>25</v>
      </c>
      <c r="D662" s="82"/>
      <c r="E662" s="99" t="s">
        <v>39</v>
      </c>
      <c r="F662" s="39">
        <f>F663</f>
        <v>25</v>
      </c>
      <c r="G662" s="39">
        <f t="shared" si="174"/>
        <v>25</v>
      </c>
      <c r="H662" s="39">
        <f t="shared" si="174"/>
        <v>0</v>
      </c>
    </row>
    <row r="663" spans="1:8" ht="25.5">
      <c r="A663" s="82" t="s">
        <v>9</v>
      </c>
      <c r="B663" s="82" t="s">
        <v>89</v>
      </c>
      <c r="C663" s="1">
        <v>9940026500</v>
      </c>
      <c r="D663" s="1"/>
      <c r="E663" s="99" t="s">
        <v>648</v>
      </c>
      <c r="F663" s="39">
        <f>F664</f>
        <v>25</v>
      </c>
      <c r="G663" s="39">
        <f t="shared" si="174"/>
        <v>25</v>
      </c>
      <c r="H663" s="39">
        <f t="shared" si="174"/>
        <v>0</v>
      </c>
    </row>
    <row r="664" spans="1:8">
      <c r="A664" s="82" t="s">
        <v>9</v>
      </c>
      <c r="B664" s="82" t="s">
        <v>89</v>
      </c>
      <c r="C664" s="1">
        <v>9940026500</v>
      </c>
      <c r="D664" s="82" t="s">
        <v>649</v>
      </c>
      <c r="E664" s="1" t="s">
        <v>650</v>
      </c>
      <c r="F664" s="39">
        <f>20.8+4.2</f>
        <v>25</v>
      </c>
      <c r="G664" s="39">
        <f>20.8+4.2</f>
        <v>25</v>
      </c>
      <c r="H664"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67"/>
  <sheetViews>
    <sheetView topLeftCell="B1" zoomScaleNormal="100" workbookViewId="0">
      <selection activeCell="H3" sqref="H3"/>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603</v>
      </c>
    </row>
    <row r="2" spans="1:10">
      <c r="G2" s="85" t="s">
        <v>604</v>
      </c>
    </row>
    <row r="3" spans="1:10">
      <c r="G3" s="85" t="s">
        <v>785</v>
      </c>
    </row>
    <row r="4" spans="1:10">
      <c r="G4" s="85" t="s">
        <v>682</v>
      </c>
    </row>
    <row r="5" spans="1:10">
      <c r="G5" s="85" t="s">
        <v>684</v>
      </c>
    </row>
    <row r="6" spans="1:10">
      <c r="G6" s="85" t="s">
        <v>144</v>
      </c>
    </row>
    <row r="7" spans="1:10">
      <c r="G7" s="85" t="s">
        <v>629</v>
      </c>
    </row>
    <row r="9" spans="1:10" s="111" customFormat="1">
      <c r="B9" s="199" t="s">
        <v>87</v>
      </c>
      <c r="C9" s="199"/>
      <c r="G9" s="85" t="s">
        <v>603</v>
      </c>
      <c r="H9" s="86"/>
      <c r="I9" s="86"/>
      <c r="J9" s="86"/>
    </row>
    <row r="10" spans="1:10" s="111" customFormat="1">
      <c r="B10" s="200" t="s">
        <v>137</v>
      </c>
      <c r="C10" s="200"/>
      <c r="G10" s="85" t="s">
        <v>380</v>
      </c>
      <c r="H10" s="85"/>
      <c r="I10" s="86"/>
      <c r="J10" s="86"/>
    </row>
    <row r="11" spans="1:10" s="111" customFormat="1">
      <c r="B11" s="199" t="s">
        <v>130</v>
      </c>
      <c r="C11" s="199"/>
      <c r="G11" s="85" t="s">
        <v>679</v>
      </c>
      <c r="H11" s="85"/>
      <c r="I11" s="86"/>
      <c r="J11" s="86"/>
    </row>
    <row r="12" spans="1:10">
      <c r="G12" s="85" t="s">
        <v>144</v>
      </c>
      <c r="H12" s="85"/>
      <c r="I12" s="86"/>
      <c r="J12" s="86"/>
    </row>
    <row r="13" spans="1:10">
      <c r="G13" s="85" t="s">
        <v>629</v>
      </c>
      <c r="H13" s="85"/>
      <c r="I13" s="86"/>
      <c r="J13" s="86"/>
    </row>
    <row r="14" spans="1:10">
      <c r="G14" s="85"/>
      <c r="H14" s="85"/>
      <c r="I14" s="86"/>
      <c r="J14" s="86"/>
    </row>
    <row r="15" spans="1:10">
      <c r="G15" s="7"/>
      <c r="H15" s="7"/>
    </row>
    <row r="16" spans="1:10" ht="79.5" customHeight="1">
      <c r="A16" s="178" t="s">
        <v>730</v>
      </c>
      <c r="B16" s="197"/>
      <c r="C16" s="197"/>
      <c r="D16" s="197"/>
      <c r="E16" s="197"/>
      <c r="F16" s="197"/>
      <c r="G16" s="197"/>
      <c r="H16" s="197"/>
      <c r="I16" s="198"/>
      <c r="J16" s="198"/>
    </row>
    <row r="17" spans="1:10" ht="15">
      <c r="A17" s="109"/>
      <c r="B17" s="110"/>
      <c r="C17" s="110"/>
      <c r="D17" s="110"/>
      <c r="E17" s="110"/>
      <c r="F17" s="110"/>
      <c r="G17" s="110"/>
      <c r="H17" s="110"/>
    </row>
    <row r="18" spans="1:10">
      <c r="B18" s="203" t="s">
        <v>129</v>
      </c>
      <c r="C18" s="184" t="s">
        <v>118</v>
      </c>
      <c r="D18" s="184" t="s">
        <v>119</v>
      </c>
      <c r="E18" s="184" t="s">
        <v>120</v>
      </c>
      <c r="F18" s="184" t="s">
        <v>114</v>
      </c>
      <c r="G18" s="184" t="s">
        <v>91</v>
      </c>
      <c r="H18" s="190" t="s">
        <v>28</v>
      </c>
      <c r="I18" s="177"/>
      <c r="J18" s="177"/>
    </row>
    <row r="19" spans="1:10">
      <c r="A19" s="201" t="s">
        <v>88</v>
      </c>
      <c r="B19" s="177"/>
      <c r="C19" s="185"/>
      <c r="D19" s="185"/>
      <c r="E19" s="185"/>
      <c r="F19" s="185"/>
      <c r="G19" s="185"/>
      <c r="H19" s="194" t="s">
        <v>382</v>
      </c>
      <c r="I19" s="177" t="s">
        <v>141</v>
      </c>
      <c r="J19" s="177"/>
    </row>
    <row r="20" spans="1:10">
      <c r="A20" s="202"/>
      <c r="B20" s="177"/>
      <c r="C20" s="186"/>
      <c r="D20" s="186"/>
      <c r="E20" s="186"/>
      <c r="F20" s="186"/>
      <c r="G20" s="186"/>
      <c r="H20" s="196"/>
      <c r="I20" s="1" t="s">
        <v>482</v>
      </c>
      <c r="J20" s="1" t="s">
        <v>630</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H23+H33+H40+H472+H625+H750</f>
        <v>1247135.0999999999</v>
      </c>
      <c r="I22" s="59">
        <f>I23+I33+I40+I472+I625+I750</f>
        <v>1051187.2</v>
      </c>
      <c r="J22" s="59">
        <f>J23+J33+J40+J472+J625+J750</f>
        <v>1049590.1000000001</v>
      </c>
    </row>
    <row r="23" spans="1:10" ht="36">
      <c r="A23" s="3">
        <v>1</v>
      </c>
      <c r="B23" s="91">
        <v>936</v>
      </c>
      <c r="C23" s="13"/>
      <c r="D23" s="13"/>
      <c r="E23" s="13"/>
      <c r="F23" s="13"/>
      <c r="G23" s="14" t="s">
        <v>139</v>
      </c>
      <c r="H23" s="92">
        <f t="shared" ref="H23:J26" si="0">H24</f>
        <v>4140.6000000000004</v>
      </c>
      <c r="I23" s="92">
        <f t="shared" si="0"/>
        <v>4120.3</v>
      </c>
      <c r="J23" s="92">
        <f t="shared" si="0"/>
        <v>4120.3</v>
      </c>
    </row>
    <row r="24" spans="1:10" ht="18.75" customHeight="1">
      <c r="A24" s="3"/>
      <c r="B24" s="91"/>
      <c r="C24" s="4" t="s">
        <v>89</v>
      </c>
      <c r="D24" s="11"/>
      <c r="E24" s="11"/>
      <c r="F24" s="11"/>
      <c r="G24" s="49" t="s">
        <v>92</v>
      </c>
      <c r="H24" s="92">
        <f t="shared" si="0"/>
        <v>4140.6000000000004</v>
      </c>
      <c r="I24" s="92">
        <f t="shared" si="0"/>
        <v>4120.3</v>
      </c>
      <c r="J24" s="92">
        <f t="shared" si="0"/>
        <v>4120.3</v>
      </c>
    </row>
    <row r="25" spans="1:10" ht="64.5">
      <c r="A25" s="29"/>
      <c r="B25" s="24"/>
      <c r="C25" s="30" t="s">
        <v>89</v>
      </c>
      <c r="D25" s="30" t="s">
        <v>94</v>
      </c>
      <c r="E25" s="31"/>
      <c r="F25" s="31"/>
      <c r="G25" s="48" t="s">
        <v>128</v>
      </c>
      <c r="H25" s="43">
        <f t="shared" si="0"/>
        <v>4140.6000000000004</v>
      </c>
      <c r="I25" s="43">
        <f t="shared" si="0"/>
        <v>4120.3</v>
      </c>
      <c r="J25" s="43">
        <f t="shared" si="0"/>
        <v>4120.3</v>
      </c>
    </row>
    <row r="26" spans="1:10" ht="25.5">
      <c r="A26" s="1"/>
      <c r="B26" s="25"/>
      <c r="C26" s="16" t="s">
        <v>89</v>
      </c>
      <c r="D26" s="16" t="s">
        <v>94</v>
      </c>
      <c r="E26" s="79">
        <v>9900000000</v>
      </c>
      <c r="F26" s="21"/>
      <c r="G26" s="55" t="s">
        <v>146</v>
      </c>
      <c r="H26" s="41">
        <f t="shared" si="0"/>
        <v>4140.6000000000004</v>
      </c>
      <c r="I26" s="41">
        <f t="shared" si="0"/>
        <v>4120.3</v>
      </c>
      <c r="J26" s="41">
        <f t="shared" si="0"/>
        <v>4120.3</v>
      </c>
    </row>
    <row r="27" spans="1:10" ht="38.25">
      <c r="A27" s="1"/>
      <c r="B27" s="25"/>
      <c r="C27" s="16" t="s">
        <v>89</v>
      </c>
      <c r="D27" s="16" t="s">
        <v>94</v>
      </c>
      <c r="E27" s="79">
        <v>9990000000</v>
      </c>
      <c r="F27" s="16"/>
      <c r="G27" s="54" t="s">
        <v>29</v>
      </c>
      <c r="H27" s="41">
        <f t="shared" ref="H27" si="1">H28+H30</f>
        <v>4140.6000000000004</v>
      </c>
      <c r="I27" s="41">
        <f t="shared" ref="I27:J27" si="2">I28+I30</f>
        <v>4120.3</v>
      </c>
      <c r="J27" s="41">
        <f t="shared" si="2"/>
        <v>4120.3</v>
      </c>
    </row>
    <row r="28" spans="1:10">
      <c r="A28" s="1"/>
      <c r="B28" s="25"/>
      <c r="C28" s="16" t="s">
        <v>89</v>
      </c>
      <c r="D28" s="16" t="s">
        <v>94</v>
      </c>
      <c r="E28" s="79">
        <v>9990022400</v>
      </c>
      <c r="F28" s="16"/>
      <c r="G28" s="98" t="s">
        <v>140</v>
      </c>
      <c r="H28" s="41">
        <f t="shared" ref="H28:J28" si="3">H29</f>
        <v>1522.8</v>
      </c>
      <c r="I28" s="41">
        <f t="shared" si="3"/>
        <v>1502.5</v>
      </c>
      <c r="J28" s="41">
        <f t="shared" si="3"/>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9" t="s">
        <v>628</v>
      </c>
      <c r="H30" s="41">
        <f>SUM(H31:H32)</f>
        <v>2617.8000000000002</v>
      </c>
      <c r="I30" s="41">
        <f t="shared" ref="I30:J30" si="4">SUM(I31:I32)</f>
        <v>2617.8000000000002</v>
      </c>
      <c r="J30" s="41">
        <f t="shared" si="4"/>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212</v>
      </c>
      <c r="G32" s="98" t="s">
        <v>213</v>
      </c>
      <c r="H32" s="39">
        <v>106.1</v>
      </c>
      <c r="I32" s="39">
        <v>106.1</v>
      </c>
      <c r="J32" s="39">
        <v>106.1</v>
      </c>
    </row>
    <row r="33" spans="1:10" ht="47.25">
      <c r="A33" s="1"/>
      <c r="B33" s="91">
        <v>939</v>
      </c>
      <c r="C33" s="13"/>
      <c r="D33" s="13"/>
      <c r="E33" s="13"/>
      <c r="F33" s="13"/>
      <c r="G33" s="10" t="s">
        <v>201</v>
      </c>
      <c r="H33" s="92">
        <f t="shared" ref="H33:J33" si="5">H34</f>
        <v>1840.4</v>
      </c>
      <c r="I33" s="92">
        <f t="shared" si="5"/>
        <v>1836.1000000000001</v>
      </c>
      <c r="J33" s="92">
        <f t="shared" si="5"/>
        <v>1836.1000000000001</v>
      </c>
    </row>
    <row r="34" spans="1:10" ht="18" customHeight="1">
      <c r="A34" s="1"/>
      <c r="B34" s="91"/>
      <c r="C34" s="4" t="s">
        <v>89</v>
      </c>
      <c r="D34" s="11"/>
      <c r="E34" s="11"/>
      <c r="F34" s="11"/>
      <c r="G34" s="49" t="s">
        <v>92</v>
      </c>
      <c r="H34" s="92">
        <f t="shared" ref="H34:J34" si="6">H35</f>
        <v>1840.4</v>
      </c>
      <c r="I34" s="92">
        <f t="shared" si="6"/>
        <v>1836.1000000000001</v>
      </c>
      <c r="J34" s="92">
        <f t="shared" si="6"/>
        <v>1836.1000000000001</v>
      </c>
    </row>
    <row r="35" spans="1:10" ht="49.5" customHeight="1">
      <c r="A35" s="1"/>
      <c r="B35" s="24"/>
      <c r="C35" s="30" t="s">
        <v>89</v>
      </c>
      <c r="D35" s="30" t="s">
        <v>97</v>
      </c>
      <c r="E35" s="31"/>
      <c r="F35" s="31"/>
      <c r="G35" s="46" t="s">
        <v>126</v>
      </c>
      <c r="H35" s="93">
        <f t="shared" ref="H35:J35" si="7">H36</f>
        <v>1840.4</v>
      </c>
      <c r="I35" s="93">
        <f t="shared" si="7"/>
        <v>1836.1000000000001</v>
      </c>
      <c r="J35" s="93">
        <f t="shared" si="7"/>
        <v>1836.1000000000001</v>
      </c>
    </row>
    <row r="36" spans="1:10" ht="38.25">
      <c r="A36" s="1"/>
      <c r="B36" s="24"/>
      <c r="C36" s="16" t="s">
        <v>89</v>
      </c>
      <c r="D36" s="82" t="s">
        <v>97</v>
      </c>
      <c r="E36" s="79">
        <v>9990000000</v>
      </c>
      <c r="F36" s="16"/>
      <c r="G36" s="54" t="s">
        <v>29</v>
      </c>
      <c r="H36" s="39">
        <f t="shared" ref="H36:J36" si="8">H37</f>
        <v>1840.4</v>
      </c>
      <c r="I36" s="39">
        <f t="shared" si="8"/>
        <v>1836.1000000000001</v>
      </c>
      <c r="J36" s="39">
        <f t="shared" si="8"/>
        <v>1836.1000000000001</v>
      </c>
    </row>
    <row r="37" spans="1:10" ht="25.5">
      <c r="A37" s="1"/>
      <c r="B37" s="25"/>
      <c r="C37" s="16" t="s">
        <v>89</v>
      </c>
      <c r="D37" s="82" t="s">
        <v>97</v>
      </c>
      <c r="E37" s="79">
        <v>9990022300</v>
      </c>
      <c r="F37" s="21"/>
      <c r="G37" s="99" t="s">
        <v>201</v>
      </c>
      <c r="H37" s="41">
        <f>H38+H39</f>
        <v>1840.4</v>
      </c>
      <c r="I37" s="41">
        <f>I38+I39</f>
        <v>1836.1000000000001</v>
      </c>
      <c r="J37" s="41">
        <f>J38+J39</f>
        <v>1836.1000000000001</v>
      </c>
    </row>
    <row r="38" spans="1:10" ht="38.25">
      <c r="A38" s="1"/>
      <c r="B38" s="25"/>
      <c r="C38" s="16" t="s">
        <v>89</v>
      </c>
      <c r="D38" s="82" t="s">
        <v>97</v>
      </c>
      <c r="E38" s="79">
        <v>9990022300</v>
      </c>
      <c r="F38" s="16" t="s">
        <v>63</v>
      </c>
      <c r="G38" s="99" t="s">
        <v>79</v>
      </c>
      <c r="H38" s="39">
        <f>1668.4+164.2+16.3-109.5+109.5-12-17.8</f>
        <v>1819.1000000000001</v>
      </c>
      <c r="I38" s="39">
        <f>1668.4+164.2</f>
        <v>1832.6000000000001</v>
      </c>
      <c r="J38" s="39">
        <f>1668.4+164.2</f>
        <v>1832.6000000000001</v>
      </c>
    </row>
    <row r="39" spans="1:10" ht="38.25">
      <c r="A39" s="1"/>
      <c r="B39" s="25"/>
      <c r="C39" s="16" t="s">
        <v>89</v>
      </c>
      <c r="D39" s="82" t="s">
        <v>97</v>
      </c>
      <c r="E39" s="79">
        <v>9990022300</v>
      </c>
      <c r="F39" s="82" t="s">
        <v>212</v>
      </c>
      <c r="G39" s="98" t="s">
        <v>213</v>
      </c>
      <c r="H39" s="39">
        <f>3.5+17.8</f>
        <v>21.3</v>
      </c>
      <c r="I39" s="39">
        <v>3.5</v>
      </c>
      <c r="J39" s="39">
        <v>3.5</v>
      </c>
    </row>
    <row r="40" spans="1:10" s="8" customFormat="1" ht="54">
      <c r="A40" s="3">
        <v>2</v>
      </c>
      <c r="B40" s="91">
        <v>937</v>
      </c>
      <c r="C40" s="13"/>
      <c r="D40" s="13"/>
      <c r="E40" s="13"/>
      <c r="F40" s="13"/>
      <c r="G40" s="14" t="s">
        <v>197</v>
      </c>
      <c r="H40" s="59">
        <f>H41+H95+H140+H256+H423+H456</f>
        <v>466530.4</v>
      </c>
      <c r="I40" s="59">
        <f>I41+I95+I140+I256+I423+I456</f>
        <v>332652.10000000003</v>
      </c>
      <c r="J40" s="59">
        <f>J41+J95+J140+J256+J423+J456</f>
        <v>341244.4</v>
      </c>
    </row>
    <row r="41" spans="1:10" ht="15.75">
      <c r="A41" s="3"/>
      <c r="B41" s="91"/>
      <c r="C41" s="4" t="s">
        <v>89</v>
      </c>
      <c r="D41" s="11"/>
      <c r="E41" s="11"/>
      <c r="F41" s="11"/>
      <c r="G41" s="15" t="s">
        <v>92</v>
      </c>
      <c r="H41" s="92">
        <f>H42+H47+H58+H63</f>
        <v>122628.19999999998</v>
      </c>
      <c r="I41" s="92">
        <f t="shared" ref="I41:J41" si="9">I42+I47+I58+I63</f>
        <v>100312.9</v>
      </c>
      <c r="J41" s="92">
        <f t="shared" si="9"/>
        <v>98878.299999999988</v>
      </c>
    </row>
    <row r="42" spans="1:10" ht="51.75">
      <c r="A42" s="3"/>
      <c r="B42" s="91"/>
      <c r="C42" s="30" t="s">
        <v>89</v>
      </c>
      <c r="D42" s="30" t="s">
        <v>90</v>
      </c>
      <c r="E42" s="30"/>
      <c r="F42" s="30"/>
      <c r="G42" s="46" t="s">
        <v>17</v>
      </c>
      <c r="H42" s="40">
        <f t="shared" ref="H42:J42" si="10">H43</f>
        <v>2367.1</v>
      </c>
      <c r="I42" s="40">
        <f t="shared" si="10"/>
        <v>1902</v>
      </c>
      <c r="J42" s="40">
        <f t="shared" si="10"/>
        <v>1902</v>
      </c>
    </row>
    <row r="43" spans="1:10" ht="25.5">
      <c r="A43" s="3"/>
      <c r="B43" s="91"/>
      <c r="C43" s="16" t="s">
        <v>89</v>
      </c>
      <c r="D43" s="16" t="s">
        <v>90</v>
      </c>
      <c r="E43" s="79">
        <v>9900000000</v>
      </c>
      <c r="F43" s="16"/>
      <c r="G43" s="55" t="s">
        <v>145</v>
      </c>
      <c r="H43" s="41">
        <f t="shared" ref="H43" si="11">H45</f>
        <v>2367.1</v>
      </c>
      <c r="I43" s="41">
        <f t="shared" ref="I43:J43" si="12">I45</f>
        <v>1902</v>
      </c>
      <c r="J43" s="41">
        <f t="shared" si="12"/>
        <v>1902</v>
      </c>
    </row>
    <row r="44" spans="1:10" ht="38.25">
      <c r="A44" s="3"/>
      <c r="B44" s="91"/>
      <c r="C44" s="16" t="s">
        <v>89</v>
      </c>
      <c r="D44" s="16" t="s">
        <v>90</v>
      </c>
      <c r="E44" s="79">
        <v>9980000000</v>
      </c>
      <c r="F44" s="16"/>
      <c r="G44" s="54" t="s">
        <v>30</v>
      </c>
      <c r="H44" s="41">
        <f>H45</f>
        <v>2367.1</v>
      </c>
      <c r="I44" s="41">
        <f>I45</f>
        <v>1902</v>
      </c>
      <c r="J44" s="41">
        <f>J45</f>
        <v>1902</v>
      </c>
    </row>
    <row r="45" spans="1:10" ht="15.75">
      <c r="A45" s="3"/>
      <c r="B45" s="91"/>
      <c r="C45" s="16" t="s">
        <v>89</v>
      </c>
      <c r="D45" s="16" t="s">
        <v>90</v>
      </c>
      <c r="E45" s="79">
        <v>9980022100</v>
      </c>
      <c r="F45" s="16"/>
      <c r="G45" s="99" t="s">
        <v>115</v>
      </c>
      <c r="H45" s="39">
        <f>H46</f>
        <v>2367.1</v>
      </c>
      <c r="I45" s="39">
        <f t="shared" ref="I45:J45" si="13">I46</f>
        <v>1902</v>
      </c>
      <c r="J45" s="39">
        <f t="shared" si="13"/>
        <v>1902</v>
      </c>
    </row>
    <row r="46" spans="1:10" ht="39">
      <c r="A46" s="3"/>
      <c r="B46" s="91"/>
      <c r="C46" s="16" t="s">
        <v>89</v>
      </c>
      <c r="D46" s="16" t="s">
        <v>90</v>
      </c>
      <c r="E46" s="79">
        <v>9980022100</v>
      </c>
      <c r="F46" s="16" t="s">
        <v>63</v>
      </c>
      <c r="G46" s="99" t="s">
        <v>79</v>
      </c>
      <c r="H46" s="39">
        <f>1717-118.6+439.5+171.7+157.5-439.5-171.7+171.7+439.5</f>
        <v>2367.1</v>
      </c>
      <c r="I46" s="39">
        <f>1717-118.6+303.6</f>
        <v>1902</v>
      </c>
      <c r="J46" s="39">
        <f>1717-118.6+303.6</f>
        <v>1902</v>
      </c>
    </row>
    <row r="47" spans="1:10" s="26" customFormat="1" ht="76.5">
      <c r="A47" s="23"/>
      <c r="B47" s="24"/>
      <c r="C47" s="30" t="s">
        <v>89</v>
      </c>
      <c r="D47" s="30" t="s">
        <v>95</v>
      </c>
      <c r="E47" s="30"/>
      <c r="F47" s="30"/>
      <c r="G47" s="46" t="s">
        <v>125</v>
      </c>
      <c r="H47" s="40">
        <f t="shared" ref="H47:J47" si="14">H48</f>
        <v>51926.69999999999</v>
      </c>
      <c r="I47" s="40">
        <f t="shared" si="14"/>
        <v>52850.1</v>
      </c>
      <c r="J47" s="40">
        <f t="shared" si="14"/>
        <v>52853.7</v>
      </c>
    </row>
    <row r="48" spans="1:10" ht="25.5">
      <c r="A48" s="1"/>
      <c r="B48" s="25"/>
      <c r="C48" s="16" t="s">
        <v>89</v>
      </c>
      <c r="D48" s="16" t="s">
        <v>95</v>
      </c>
      <c r="E48" s="79">
        <v>9900000000</v>
      </c>
      <c r="F48" s="16"/>
      <c r="G48" s="55" t="s">
        <v>145</v>
      </c>
      <c r="H48" s="39">
        <f>H49+H53</f>
        <v>51926.69999999999</v>
      </c>
      <c r="I48" s="39">
        <f t="shared" ref="I48:J48" si="15">I49+I53</f>
        <v>52850.1</v>
      </c>
      <c r="J48" s="39">
        <f t="shared" si="15"/>
        <v>52853.7</v>
      </c>
    </row>
    <row r="49" spans="1:10" ht="25.5">
      <c r="A49" s="1"/>
      <c r="B49" s="25"/>
      <c r="C49" s="16" t="s">
        <v>89</v>
      </c>
      <c r="D49" s="16" t="s">
        <v>95</v>
      </c>
      <c r="E49" s="79">
        <v>9930000000</v>
      </c>
      <c r="F49" s="16"/>
      <c r="G49" s="22" t="s">
        <v>41</v>
      </c>
      <c r="H49" s="39">
        <f t="shared" ref="H49:J49" si="16">H50</f>
        <v>422.6</v>
      </c>
      <c r="I49" s="39">
        <f t="shared" si="16"/>
        <v>426.1</v>
      </c>
      <c r="J49" s="39">
        <f t="shared" si="16"/>
        <v>429.7</v>
      </c>
    </row>
    <row r="50" spans="1:10" ht="63.75">
      <c r="A50" s="1"/>
      <c r="B50" s="25"/>
      <c r="C50" s="16" t="s">
        <v>89</v>
      </c>
      <c r="D50" s="16" t="s">
        <v>95</v>
      </c>
      <c r="E50" s="79">
        <v>9930010510</v>
      </c>
      <c r="F50" s="16"/>
      <c r="G50" s="22" t="s">
        <v>15</v>
      </c>
      <c r="H50" s="39">
        <f>H51+H52</f>
        <v>422.6</v>
      </c>
      <c r="I50" s="39">
        <f t="shared" ref="I50:J50" si="17">I51+I52</f>
        <v>426.1</v>
      </c>
      <c r="J50" s="39">
        <f t="shared" si="17"/>
        <v>429.7</v>
      </c>
    </row>
    <row r="51" spans="1:10" ht="38.25">
      <c r="A51" s="1"/>
      <c r="B51" s="25"/>
      <c r="C51" s="16" t="s">
        <v>89</v>
      </c>
      <c r="D51" s="16" t="s">
        <v>95</v>
      </c>
      <c r="E51" s="79">
        <v>9930010510</v>
      </c>
      <c r="F51" s="16" t="s">
        <v>63</v>
      </c>
      <c r="G51" s="102" t="s">
        <v>64</v>
      </c>
      <c r="H51" s="39">
        <v>397.3</v>
      </c>
      <c r="I51" s="39">
        <v>397.3</v>
      </c>
      <c r="J51" s="39">
        <v>397.3</v>
      </c>
    </row>
    <row r="52" spans="1:10" ht="38.25">
      <c r="A52" s="1"/>
      <c r="B52" s="25"/>
      <c r="C52" s="16" t="s">
        <v>89</v>
      </c>
      <c r="D52" s="16" t="s">
        <v>95</v>
      </c>
      <c r="E52" s="79">
        <v>9930010510</v>
      </c>
      <c r="F52" s="82" t="s">
        <v>212</v>
      </c>
      <c r="G52" s="98" t="s">
        <v>213</v>
      </c>
      <c r="H52" s="39">
        <v>25.3</v>
      </c>
      <c r="I52" s="39">
        <v>28.8</v>
      </c>
      <c r="J52" s="39">
        <v>32.4</v>
      </c>
    </row>
    <row r="53" spans="1:10" ht="38.25">
      <c r="A53" s="1"/>
      <c r="B53" s="25"/>
      <c r="C53" s="16" t="s">
        <v>89</v>
      </c>
      <c r="D53" s="16" t="s">
        <v>95</v>
      </c>
      <c r="E53" s="79">
        <v>9980000000</v>
      </c>
      <c r="F53" s="16"/>
      <c r="G53" s="54" t="s">
        <v>30</v>
      </c>
      <c r="H53" s="39">
        <f t="shared" ref="H53:J53" si="18">H54</f>
        <v>51504.099999999991</v>
      </c>
      <c r="I53" s="39">
        <f t="shared" si="18"/>
        <v>52424</v>
      </c>
      <c r="J53" s="39">
        <f t="shared" si="18"/>
        <v>52424</v>
      </c>
    </row>
    <row r="54" spans="1:10">
      <c r="A54" s="1"/>
      <c r="B54" s="25"/>
      <c r="C54" s="16" t="s">
        <v>89</v>
      </c>
      <c r="D54" s="16" t="s">
        <v>95</v>
      </c>
      <c r="E54" s="139">
        <v>9980022200</v>
      </c>
      <c r="F54" s="21"/>
      <c r="G54" s="22" t="s">
        <v>116</v>
      </c>
      <c r="H54" s="39">
        <f>SUM(H55:H57)</f>
        <v>51504.099999999991</v>
      </c>
      <c r="I54" s="39">
        <f>SUM(I55:I57)</f>
        <v>52424</v>
      </c>
      <c r="J54" s="39">
        <f>SUM(J55:J57)</f>
        <v>52424</v>
      </c>
    </row>
    <row r="55" spans="1:10" ht="38.25">
      <c r="A55" s="1"/>
      <c r="B55" s="25"/>
      <c r="C55" s="16" t="s">
        <v>89</v>
      </c>
      <c r="D55" s="16" t="s">
        <v>95</v>
      </c>
      <c r="E55" s="139">
        <v>9980022200</v>
      </c>
      <c r="F55" s="16" t="s">
        <v>63</v>
      </c>
      <c r="G55" s="55" t="s">
        <v>64</v>
      </c>
      <c r="H55" s="39">
        <f>44902+375.4+4548.2-375.4+383-100-350-120-463.3</f>
        <v>48799.899999999994</v>
      </c>
      <c r="I55" s="39">
        <f>44902+4548.2</f>
        <v>49450.2</v>
      </c>
      <c r="J55" s="39">
        <f>44902+4548.2</f>
        <v>49450.2</v>
      </c>
    </row>
    <row r="56" spans="1:10" ht="38.25">
      <c r="A56" s="1"/>
      <c r="B56" s="25"/>
      <c r="C56" s="16" t="s">
        <v>89</v>
      </c>
      <c r="D56" s="16" t="s">
        <v>95</v>
      </c>
      <c r="E56" s="139">
        <v>9980022200</v>
      </c>
      <c r="F56" s="82" t="s">
        <v>212</v>
      </c>
      <c r="G56" s="98" t="s">
        <v>213</v>
      </c>
      <c r="H56" s="39">
        <f>2929.4-90-80.4-70</f>
        <v>2689</v>
      </c>
      <c r="I56" s="39">
        <v>2929.4</v>
      </c>
      <c r="J56" s="39">
        <v>2929.4</v>
      </c>
    </row>
    <row r="57" spans="1:10" ht="25.5">
      <c r="A57" s="1"/>
      <c r="B57" s="25"/>
      <c r="C57" s="16" t="s">
        <v>89</v>
      </c>
      <c r="D57" s="16" t="s">
        <v>95</v>
      </c>
      <c r="E57" s="139">
        <v>9980022200</v>
      </c>
      <c r="F57" s="82" t="s">
        <v>132</v>
      </c>
      <c r="G57" s="98" t="s">
        <v>133</v>
      </c>
      <c r="H57" s="41">
        <f>44.4-29.2</f>
        <v>15.2</v>
      </c>
      <c r="I57" s="41">
        <v>44.4</v>
      </c>
      <c r="J57" s="41">
        <v>44.4</v>
      </c>
    </row>
    <row r="58" spans="1:10" ht="14.25">
      <c r="A58" s="1"/>
      <c r="B58" s="25"/>
      <c r="C58" s="35" t="s">
        <v>89</v>
      </c>
      <c r="D58" s="35" t="s">
        <v>96</v>
      </c>
      <c r="E58" s="35"/>
      <c r="F58" s="35"/>
      <c r="G58" s="46" t="s">
        <v>291</v>
      </c>
      <c r="H58" s="42">
        <f t="shared" ref="H58:J58" si="19">SUM(H59)</f>
        <v>2.1</v>
      </c>
      <c r="I58" s="42">
        <f t="shared" si="19"/>
        <v>2.2999999999999998</v>
      </c>
      <c r="J58" s="42">
        <f t="shared" si="19"/>
        <v>2</v>
      </c>
    </row>
    <row r="59" spans="1:10" ht="25.5">
      <c r="A59" s="1"/>
      <c r="B59" s="25"/>
      <c r="C59" s="16" t="s">
        <v>89</v>
      </c>
      <c r="D59" s="82" t="s">
        <v>96</v>
      </c>
      <c r="E59" s="79">
        <v>9900000000</v>
      </c>
      <c r="F59" s="16"/>
      <c r="G59" s="55" t="s">
        <v>146</v>
      </c>
      <c r="H59" s="39">
        <f t="shared" ref="H59:J61" si="20">H60</f>
        <v>2.1</v>
      </c>
      <c r="I59" s="39">
        <f t="shared" si="20"/>
        <v>2.2999999999999998</v>
      </c>
      <c r="J59" s="39">
        <f t="shared" si="20"/>
        <v>2</v>
      </c>
    </row>
    <row r="60" spans="1:10" ht="25.5">
      <c r="A60" s="1"/>
      <c r="B60" s="25"/>
      <c r="C60" s="16" t="s">
        <v>89</v>
      </c>
      <c r="D60" s="82" t="s">
        <v>96</v>
      </c>
      <c r="E60" s="79">
        <v>9930000000</v>
      </c>
      <c r="F60" s="16"/>
      <c r="G60" s="22" t="s">
        <v>41</v>
      </c>
      <c r="H60" s="39">
        <f t="shared" si="20"/>
        <v>2.1</v>
      </c>
      <c r="I60" s="39">
        <f t="shared" si="20"/>
        <v>2.2999999999999998</v>
      </c>
      <c r="J60" s="39">
        <f t="shared" si="20"/>
        <v>2</v>
      </c>
    </row>
    <row r="61" spans="1:10" ht="63.75">
      <c r="A61" s="1"/>
      <c r="B61" s="25"/>
      <c r="C61" s="16" t="s">
        <v>89</v>
      </c>
      <c r="D61" s="82" t="s">
        <v>96</v>
      </c>
      <c r="E61" s="79">
        <v>9930051200</v>
      </c>
      <c r="F61" s="16"/>
      <c r="G61" s="54" t="s">
        <v>284</v>
      </c>
      <c r="H61" s="107">
        <f t="shared" si="20"/>
        <v>2.1</v>
      </c>
      <c r="I61" s="39">
        <f t="shared" si="20"/>
        <v>2.2999999999999998</v>
      </c>
      <c r="J61" s="39">
        <f t="shared" si="20"/>
        <v>2</v>
      </c>
    </row>
    <row r="62" spans="1:10" ht="38.25">
      <c r="A62" s="1"/>
      <c r="B62" s="25"/>
      <c r="C62" s="16" t="s">
        <v>89</v>
      </c>
      <c r="D62" s="82" t="s">
        <v>96</v>
      </c>
      <c r="E62" s="79">
        <v>9930051200</v>
      </c>
      <c r="F62" s="82" t="s">
        <v>212</v>
      </c>
      <c r="G62" s="98" t="s">
        <v>213</v>
      </c>
      <c r="H62" s="107">
        <v>2.1</v>
      </c>
      <c r="I62" s="107">
        <v>2.2999999999999998</v>
      </c>
      <c r="J62" s="107">
        <v>2</v>
      </c>
    </row>
    <row r="63" spans="1:10" s="26" customFormat="1" ht="17.25" customHeight="1">
      <c r="A63" s="23"/>
      <c r="B63" s="24"/>
      <c r="C63" s="30" t="s">
        <v>89</v>
      </c>
      <c r="D63" s="30" t="s">
        <v>9</v>
      </c>
      <c r="E63" s="33"/>
      <c r="F63" s="33"/>
      <c r="G63" s="46" t="s">
        <v>98</v>
      </c>
      <c r="H63" s="40">
        <f>H64+H77</f>
        <v>68332.3</v>
      </c>
      <c r="I63" s="40">
        <f>I64+I77</f>
        <v>45558.5</v>
      </c>
      <c r="J63" s="40">
        <f>J64+J77</f>
        <v>44120.6</v>
      </c>
    </row>
    <row r="64" spans="1:10" ht="89.25">
      <c r="A64" s="1"/>
      <c r="B64" s="25"/>
      <c r="C64" s="16" t="s">
        <v>89</v>
      </c>
      <c r="D64" s="16" t="s">
        <v>9</v>
      </c>
      <c r="E64" s="73" t="s">
        <v>70</v>
      </c>
      <c r="F64" s="16"/>
      <c r="G64" s="143" t="s">
        <v>615</v>
      </c>
      <c r="H64" s="96">
        <f t="shared" ref="H64:J64" si="21">H65</f>
        <v>27463.200000000001</v>
      </c>
      <c r="I64" s="96">
        <f t="shared" si="21"/>
        <v>7940</v>
      </c>
      <c r="J64" s="96">
        <f t="shared" si="21"/>
        <v>7940</v>
      </c>
    </row>
    <row r="65" spans="1:10" ht="38.25">
      <c r="A65" s="1"/>
      <c r="B65" s="25"/>
      <c r="C65" s="16" t="s">
        <v>89</v>
      </c>
      <c r="D65" s="16" t="s">
        <v>9</v>
      </c>
      <c r="E65" s="52" t="s">
        <v>71</v>
      </c>
      <c r="F65" s="16"/>
      <c r="G65" s="48" t="s">
        <v>158</v>
      </c>
      <c r="H65" s="93">
        <f>H66+H69</f>
        <v>27463.200000000001</v>
      </c>
      <c r="I65" s="93">
        <f t="shared" ref="I65:J65" si="22">I66+I69</f>
        <v>7940</v>
      </c>
      <c r="J65" s="93">
        <f t="shared" si="22"/>
        <v>7940</v>
      </c>
    </row>
    <row r="66" spans="1:10" ht="38.25">
      <c r="A66" s="1"/>
      <c r="B66" s="25"/>
      <c r="C66" s="16" t="s">
        <v>89</v>
      </c>
      <c r="D66" s="16" t="s">
        <v>9</v>
      </c>
      <c r="E66" s="21" t="s">
        <v>245</v>
      </c>
      <c r="F66" s="16"/>
      <c r="G66" s="99" t="s">
        <v>246</v>
      </c>
      <c r="H66" s="39">
        <f t="shared" ref="H66:J67" si="23">H67</f>
        <v>261</v>
      </c>
      <c r="I66" s="39">
        <f t="shared" si="23"/>
        <v>250</v>
      </c>
      <c r="J66" s="39">
        <f t="shared" si="23"/>
        <v>250</v>
      </c>
    </row>
    <row r="67" spans="1:10" ht="38.25">
      <c r="A67" s="1"/>
      <c r="B67" s="25"/>
      <c r="C67" s="16" t="s">
        <v>89</v>
      </c>
      <c r="D67" s="16" t="s">
        <v>9</v>
      </c>
      <c r="E67" s="82" t="s">
        <v>475</v>
      </c>
      <c r="F67" s="16"/>
      <c r="G67" s="97" t="s">
        <v>159</v>
      </c>
      <c r="H67" s="41">
        <f t="shared" si="23"/>
        <v>261</v>
      </c>
      <c r="I67" s="41">
        <f t="shared" si="23"/>
        <v>250</v>
      </c>
      <c r="J67" s="41">
        <f t="shared" si="23"/>
        <v>250</v>
      </c>
    </row>
    <row r="68" spans="1:10" ht="38.25">
      <c r="A68" s="1"/>
      <c r="B68" s="25"/>
      <c r="C68" s="16" t="s">
        <v>89</v>
      </c>
      <c r="D68" s="16" t="s">
        <v>9</v>
      </c>
      <c r="E68" s="82" t="s">
        <v>475</v>
      </c>
      <c r="F68" s="82" t="s">
        <v>212</v>
      </c>
      <c r="G68" s="98" t="s">
        <v>213</v>
      </c>
      <c r="H68" s="41">
        <f>250+40-29</f>
        <v>261</v>
      </c>
      <c r="I68" s="41">
        <v>250</v>
      </c>
      <c r="J68" s="41">
        <v>250</v>
      </c>
    </row>
    <row r="69" spans="1:10" ht="63.75">
      <c r="A69" s="1"/>
      <c r="B69" s="25"/>
      <c r="C69" s="16" t="s">
        <v>89</v>
      </c>
      <c r="D69" s="16" t="s">
        <v>9</v>
      </c>
      <c r="E69" s="21" t="s">
        <v>247</v>
      </c>
      <c r="F69" s="82"/>
      <c r="G69" s="99" t="s">
        <v>248</v>
      </c>
      <c r="H69" s="41">
        <f>H70+H72+H74</f>
        <v>27202.2</v>
      </c>
      <c r="I69" s="41">
        <f>I70+I72+I74</f>
        <v>7690</v>
      </c>
      <c r="J69" s="41">
        <f>J70+J72+J74</f>
        <v>7690</v>
      </c>
    </row>
    <row r="70" spans="1:10" ht="51">
      <c r="A70" s="1"/>
      <c r="B70" s="25"/>
      <c r="C70" s="16" t="s">
        <v>89</v>
      </c>
      <c r="D70" s="16" t="s">
        <v>9</v>
      </c>
      <c r="E70" s="136" t="s">
        <v>476</v>
      </c>
      <c r="F70" s="16"/>
      <c r="G70" s="97" t="s">
        <v>160</v>
      </c>
      <c r="H70" s="41">
        <f>H71</f>
        <v>211</v>
      </c>
      <c r="I70" s="41">
        <f>I71</f>
        <v>100</v>
      </c>
      <c r="J70" s="41">
        <f>J71</f>
        <v>100</v>
      </c>
    </row>
    <row r="71" spans="1:10" ht="38.25">
      <c r="A71" s="1"/>
      <c r="B71" s="25"/>
      <c r="C71" s="16" t="s">
        <v>89</v>
      </c>
      <c r="D71" s="16" t="s">
        <v>9</v>
      </c>
      <c r="E71" s="136" t="s">
        <v>476</v>
      </c>
      <c r="F71" s="82" t="s">
        <v>212</v>
      </c>
      <c r="G71" s="98" t="s">
        <v>213</v>
      </c>
      <c r="H71" s="41">
        <f>100+29+42+40</f>
        <v>211</v>
      </c>
      <c r="I71" s="41">
        <v>100</v>
      </c>
      <c r="J71" s="41">
        <v>100</v>
      </c>
    </row>
    <row r="72" spans="1:10" ht="76.5">
      <c r="A72" s="1"/>
      <c r="B72" s="25"/>
      <c r="C72" s="16" t="s">
        <v>89</v>
      </c>
      <c r="D72" s="16" t="s">
        <v>9</v>
      </c>
      <c r="E72" s="136" t="s">
        <v>477</v>
      </c>
      <c r="F72" s="16"/>
      <c r="G72" s="97" t="s">
        <v>161</v>
      </c>
      <c r="H72" s="41">
        <f>H73</f>
        <v>324.8</v>
      </c>
      <c r="I72" s="41">
        <f>I73</f>
        <v>100</v>
      </c>
      <c r="J72" s="41">
        <f>J73</f>
        <v>100</v>
      </c>
    </row>
    <row r="73" spans="1:10" ht="38.25">
      <c r="A73" s="1"/>
      <c r="B73" s="25"/>
      <c r="C73" s="16" t="s">
        <v>89</v>
      </c>
      <c r="D73" s="16" t="s">
        <v>9</v>
      </c>
      <c r="E73" s="136" t="s">
        <v>477</v>
      </c>
      <c r="F73" s="82" t="s">
        <v>212</v>
      </c>
      <c r="G73" s="98" t="s">
        <v>213</v>
      </c>
      <c r="H73" s="41">
        <f>330-5.2</f>
        <v>324.8</v>
      </c>
      <c r="I73" s="41">
        <v>100</v>
      </c>
      <c r="J73" s="41">
        <v>100</v>
      </c>
    </row>
    <row r="74" spans="1:10" ht="38.25">
      <c r="A74" s="1"/>
      <c r="B74" s="25"/>
      <c r="C74" s="16" t="s">
        <v>89</v>
      </c>
      <c r="D74" s="16" t="s">
        <v>9</v>
      </c>
      <c r="E74" s="74">
        <v>310223174</v>
      </c>
      <c r="F74" s="16"/>
      <c r="G74" s="97" t="s">
        <v>162</v>
      </c>
      <c r="H74" s="41">
        <f>SUM(H75:H76)</f>
        <v>26666.400000000001</v>
      </c>
      <c r="I74" s="41">
        <f>SUM(I75:I76)</f>
        <v>7490</v>
      </c>
      <c r="J74" s="41">
        <f>SUM(J75:J76)</f>
        <v>7490</v>
      </c>
    </row>
    <row r="75" spans="1:10" ht="38.25">
      <c r="A75" s="1"/>
      <c r="B75" s="25"/>
      <c r="C75" s="16" t="s">
        <v>89</v>
      </c>
      <c r="D75" s="16" t="s">
        <v>9</v>
      </c>
      <c r="E75" s="74">
        <v>310223174</v>
      </c>
      <c r="F75" s="82" t="s">
        <v>212</v>
      </c>
      <c r="G75" s="98" t="s">
        <v>213</v>
      </c>
      <c r="H75" s="41">
        <f>9373.3+1497.8+15466.2+97.4+222.5-36.8-40</f>
        <v>26580.400000000001</v>
      </c>
      <c r="I75" s="41">
        <v>7490</v>
      </c>
      <c r="J75" s="41">
        <v>7490</v>
      </c>
    </row>
    <row r="76" spans="1:10" ht="25.5">
      <c r="A76" s="1"/>
      <c r="B76" s="25"/>
      <c r="C76" s="16" t="s">
        <v>89</v>
      </c>
      <c r="D76" s="16" t="s">
        <v>9</v>
      </c>
      <c r="E76" s="74">
        <v>310223174</v>
      </c>
      <c r="F76" s="82" t="s">
        <v>132</v>
      </c>
      <c r="G76" s="98" t="s">
        <v>133</v>
      </c>
      <c r="H76" s="41">
        <f>16.3+40.4+29.3</f>
        <v>86</v>
      </c>
      <c r="I76" s="41">
        <v>0</v>
      </c>
      <c r="J76" s="41">
        <v>0</v>
      </c>
    </row>
    <row r="77" spans="1:10" ht="25.5">
      <c r="A77" s="1"/>
      <c r="B77" s="25"/>
      <c r="C77" s="5" t="s">
        <v>89</v>
      </c>
      <c r="D77" s="5" t="s">
        <v>9</v>
      </c>
      <c r="E77" s="83">
        <v>9900000000</v>
      </c>
      <c r="F77" s="5"/>
      <c r="G77" s="84" t="s">
        <v>145</v>
      </c>
      <c r="H77" s="96">
        <f>H78+H82+H87</f>
        <v>40869.1</v>
      </c>
      <c r="I77" s="96">
        <f t="shared" ref="I77:J77" si="24">I78+I82+I87</f>
        <v>37618.5</v>
      </c>
      <c r="J77" s="96">
        <f t="shared" si="24"/>
        <v>36180.6</v>
      </c>
    </row>
    <row r="78" spans="1:10" ht="25.5">
      <c r="A78" s="1"/>
      <c r="B78" s="25"/>
      <c r="C78" s="16" t="s">
        <v>89</v>
      </c>
      <c r="D78" s="16" t="s">
        <v>9</v>
      </c>
      <c r="E78" s="79">
        <v>9930000000</v>
      </c>
      <c r="F78" s="16"/>
      <c r="G78" s="22" t="s">
        <v>41</v>
      </c>
      <c r="H78" s="39">
        <f>H79</f>
        <v>239.6</v>
      </c>
      <c r="I78" s="39">
        <f>I79</f>
        <v>241.6</v>
      </c>
      <c r="J78" s="39">
        <f t="shared" ref="J78" si="25">J79</f>
        <v>243.7</v>
      </c>
    </row>
    <row r="79" spans="1:10" ht="38.25">
      <c r="A79" s="1"/>
      <c r="B79" s="25"/>
      <c r="C79" s="16" t="s">
        <v>89</v>
      </c>
      <c r="D79" s="16" t="s">
        <v>9</v>
      </c>
      <c r="E79" s="79">
        <v>9930010540</v>
      </c>
      <c r="F79" s="16"/>
      <c r="G79" s="22" t="s">
        <v>16</v>
      </c>
      <c r="H79" s="39">
        <f>H80+H81</f>
        <v>239.6</v>
      </c>
      <c r="I79" s="39">
        <f>I80+I81</f>
        <v>241.6</v>
      </c>
      <c r="J79" s="39">
        <f t="shared" ref="J79" si="26">J80+J81</f>
        <v>243.7</v>
      </c>
    </row>
    <row r="80" spans="1:10" ht="38.25">
      <c r="A80" s="1"/>
      <c r="B80" s="25"/>
      <c r="C80" s="16" t="s">
        <v>89</v>
      </c>
      <c r="D80" s="16" t="s">
        <v>9</v>
      </c>
      <c r="E80" s="79">
        <v>9930010540</v>
      </c>
      <c r="F80" s="16" t="s">
        <v>63</v>
      </c>
      <c r="G80" s="102" t="s">
        <v>64</v>
      </c>
      <c r="H80" s="39">
        <v>217.7</v>
      </c>
      <c r="I80" s="39">
        <v>217.7</v>
      </c>
      <c r="J80" s="39">
        <v>217.7</v>
      </c>
    </row>
    <row r="81" spans="1:10" ht="38.25">
      <c r="A81" s="1"/>
      <c r="B81" s="25"/>
      <c r="C81" s="16" t="s">
        <v>89</v>
      </c>
      <c r="D81" s="16" t="s">
        <v>9</v>
      </c>
      <c r="E81" s="79">
        <v>9930010540</v>
      </c>
      <c r="F81" s="82" t="s">
        <v>212</v>
      </c>
      <c r="G81" s="98" t="s">
        <v>213</v>
      </c>
      <c r="H81" s="39">
        <v>21.9</v>
      </c>
      <c r="I81" s="39">
        <v>23.9</v>
      </c>
      <c r="J81" s="39">
        <v>26</v>
      </c>
    </row>
    <row r="82" spans="1:10" ht="38.25">
      <c r="A82" s="1"/>
      <c r="B82" s="25"/>
      <c r="C82" s="16" t="s">
        <v>89</v>
      </c>
      <c r="D82" s="16" t="s">
        <v>9</v>
      </c>
      <c r="E82" s="16" t="s">
        <v>25</v>
      </c>
      <c r="F82" s="16"/>
      <c r="G82" s="99" t="s">
        <v>39</v>
      </c>
      <c r="H82" s="39">
        <f>H83</f>
        <v>4803.7</v>
      </c>
      <c r="I82" s="39">
        <f t="shared" ref="I82:J82" si="27">I83</f>
        <v>1270</v>
      </c>
      <c r="J82" s="39">
        <f t="shared" si="27"/>
        <v>1270</v>
      </c>
    </row>
    <row r="83" spans="1:10" ht="25.5">
      <c r="A83" s="1"/>
      <c r="B83" s="25"/>
      <c r="C83" s="16" t="s">
        <v>89</v>
      </c>
      <c r="D83" s="16" t="s">
        <v>9</v>
      </c>
      <c r="E83" s="82" t="s">
        <v>569</v>
      </c>
      <c r="F83" s="16"/>
      <c r="G83" s="99" t="s">
        <v>40</v>
      </c>
      <c r="H83" s="39">
        <f>SUM(H84:H86)</f>
        <v>4803.7</v>
      </c>
      <c r="I83" s="39">
        <f>SUM(I84:I86)</f>
        <v>1270</v>
      </c>
      <c r="J83" s="39">
        <f>SUM(J84:J86)</f>
        <v>1270</v>
      </c>
    </row>
    <row r="84" spans="1:10" ht="38.25">
      <c r="A84" s="1"/>
      <c r="B84" s="25"/>
      <c r="C84" s="16" t="s">
        <v>89</v>
      </c>
      <c r="D84" s="16" t="s">
        <v>9</v>
      </c>
      <c r="E84" s="82" t="s">
        <v>569</v>
      </c>
      <c r="F84" s="82" t="s">
        <v>212</v>
      </c>
      <c r="G84" s="98" t="s">
        <v>213</v>
      </c>
      <c r="H84" s="39">
        <f>242+70</f>
        <v>312</v>
      </c>
      <c r="I84" s="39">
        <v>242</v>
      </c>
      <c r="J84" s="39">
        <v>242</v>
      </c>
    </row>
    <row r="85" spans="1:10">
      <c r="A85" s="1"/>
      <c r="B85" s="25"/>
      <c r="C85" s="16" t="s">
        <v>89</v>
      </c>
      <c r="D85" s="16" t="s">
        <v>9</v>
      </c>
      <c r="E85" s="82" t="s">
        <v>569</v>
      </c>
      <c r="F85" s="16" t="s">
        <v>82</v>
      </c>
      <c r="G85" s="98" t="s">
        <v>83</v>
      </c>
      <c r="H85" s="39">
        <v>426</v>
      </c>
      <c r="I85" s="39">
        <v>426</v>
      </c>
      <c r="J85" s="39">
        <v>426</v>
      </c>
    </row>
    <row r="86" spans="1:10" ht="25.5">
      <c r="A86" s="1"/>
      <c r="B86" s="25"/>
      <c r="C86" s="16" t="s">
        <v>89</v>
      </c>
      <c r="D86" s="16" t="s">
        <v>9</v>
      </c>
      <c r="E86" s="82" t="s">
        <v>569</v>
      </c>
      <c r="F86" s="82" t="s">
        <v>132</v>
      </c>
      <c r="G86" s="98" t="s">
        <v>133</v>
      </c>
      <c r="H86" s="39">
        <f>602+893.7+210+90+100+350+1700+120</f>
        <v>4065.7</v>
      </c>
      <c r="I86" s="39">
        <v>602</v>
      </c>
      <c r="J86" s="39">
        <v>602</v>
      </c>
    </row>
    <row r="87" spans="1:10" ht="25.5">
      <c r="A87" s="1"/>
      <c r="B87" s="25"/>
      <c r="C87" s="16" t="s">
        <v>89</v>
      </c>
      <c r="D87" s="16" t="s">
        <v>9</v>
      </c>
      <c r="E87" s="82" t="s">
        <v>195</v>
      </c>
      <c r="F87" s="16"/>
      <c r="G87" s="99" t="s">
        <v>196</v>
      </c>
      <c r="H87" s="39">
        <f>H88+H91</f>
        <v>35825.799999999996</v>
      </c>
      <c r="I87" s="39">
        <f>I88+I91</f>
        <v>36106.9</v>
      </c>
      <c r="J87" s="39">
        <f>J88+J91</f>
        <v>34666.9</v>
      </c>
    </row>
    <row r="88" spans="1:10" ht="38.25">
      <c r="A88" s="1"/>
      <c r="B88" s="25"/>
      <c r="C88" s="16" t="s">
        <v>89</v>
      </c>
      <c r="D88" s="16" t="s">
        <v>9</v>
      </c>
      <c r="E88" s="21" t="s">
        <v>571</v>
      </c>
      <c r="F88" s="47"/>
      <c r="G88" s="54" t="s">
        <v>287</v>
      </c>
      <c r="H88" s="41">
        <f>SUM(H89:H90)</f>
        <v>9986.7999999999993</v>
      </c>
      <c r="I88" s="41">
        <f>SUM(I89:I90)</f>
        <v>9871.1</v>
      </c>
      <c r="J88" s="41">
        <f>SUM(J89:J90)</f>
        <v>9871.1</v>
      </c>
    </row>
    <row r="89" spans="1:10" ht="25.5">
      <c r="A89" s="1"/>
      <c r="B89" s="25"/>
      <c r="C89" s="16" t="s">
        <v>89</v>
      </c>
      <c r="D89" s="16" t="s">
        <v>9</v>
      </c>
      <c r="E89" s="21" t="s">
        <v>571</v>
      </c>
      <c r="F89" s="16" t="s">
        <v>65</v>
      </c>
      <c r="G89" s="102" t="s">
        <v>131</v>
      </c>
      <c r="H89" s="39">
        <f>9107.9+115.8</f>
        <v>9223.6999999999989</v>
      </c>
      <c r="I89" s="41">
        <f>8277.8+830.2</f>
        <v>9108</v>
      </c>
      <c r="J89" s="41">
        <f>8277.8+830.2</f>
        <v>9108</v>
      </c>
    </row>
    <row r="90" spans="1:10" ht="38.25">
      <c r="A90" s="1"/>
      <c r="B90" s="25"/>
      <c r="C90" s="16" t="s">
        <v>89</v>
      </c>
      <c r="D90" s="16" t="s">
        <v>9</v>
      </c>
      <c r="E90" s="21" t="s">
        <v>571</v>
      </c>
      <c r="F90" s="82" t="s">
        <v>212</v>
      </c>
      <c r="G90" s="98" t="s">
        <v>213</v>
      </c>
      <c r="H90" s="41">
        <v>763.1</v>
      </c>
      <c r="I90" s="41">
        <v>763.1</v>
      </c>
      <c r="J90" s="41">
        <v>763.1</v>
      </c>
    </row>
    <row r="91" spans="1:10" ht="55.5" customHeight="1">
      <c r="A91" s="1"/>
      <c r="B91" s="25"/>
      <c r="C91" s="16" t="s">
        <v>89</v>
      </c>
      <c r="D91" s="16" t="s">
        <v>9</v>
      </c>
      <c r="E91" s="21" t="s">
        <v>573</v>
      </c>
      <c r="F91" s="47"/>
      <c r="G91" s="54" t="s">
        <v>572</v>
      </c>
      <c r="H91" s="41">
        <f>SUM(H92:H94)</f>
        <v>25838.999999999996</v>
      </c>
      <c r="I91" s="41">
        <f>SUM(I92:I94)</f>
        <v>26235.8</v>
      </c>
      <c r="J91" s="41">
        <f>SUM(J92:J94)</f>
        <v>24795.8</v>
      </c>
    </row>
    <row r="92" spans="1:10" ht="25.5">
      <c r="A92" s="1"/>
      <c r="B92" s="25"/>
      <c r="C92" s="16" t="s">
        <v>89</v>
      </c>
      <c r="D92" s="16" t="s">
        <v>9</v>
      </c>
      <c r="E92" s="21" t="s">
        <v>573</v>
      </c>
      <c r="F92" s="16" t="s">
        <v>65</v>
      </c>
      <c r="G92" s="102" t="s">
        <v>131</v>
      </c>
      <c r="H92" s="41">
        <f>9754.4+975.4-235</f>
        <v>10494.8</v>
      </c>
      <c r="I92" s="41">
        <f>9754.4+975.4</f>
        <v>10729.8</v>
      </c>
      <c r="J92" s="41">
        <f>9754.4+975.4</f>
        <v>10729.8</v>
      </c>
    </row>
    <row r="93" spans="1:10" ht="38.25">
      <c r="A93" s="1"/>
      <c r="B93" s="25"/>
      <c r="C93" s="16" t="s">
        <v>89</v>
      </c>
      <c r="D93" s="16" t="s">
        <v>9</v>
      </c>
      <c r="E93" s="21" t="s">
        <v>573</v>
      </c>
      <c r="F93" s="82" t="s">
        <v>212</v>
      </c>
      <c r="G93" s="98" t="s">
        <v>213</v>
      </c>
      <c r="H93" s="41">
        <v>15223.4</v>
      </c>
      <c r="I93" s="41">
        <v>15385.2</v>
      </c>
      <c r="J93" s="41">
        <v>13945.2</v>
      </c>
    </row>
    <row r="94" spans="1:10" ht="25.5">
      <c r="A94" s="1"/>
      <c r="B94" s="25"/>
      <c r="C94" s="16" t="s">
        <v>89</v>
      </c>
      <c r="D94" s="16" t="s">
        <v>9</v>
      </c>
      <c r="E94" s="21" t="s">
        <v>573</v>
      </c>
      <c r="F94" s="82" t="s">
        <v>132</v>
      </c>
      <c r="G94" s="98" t="s">
        <v>133</v>
      </c>
      <c r="H94" s="107">
        <v>120.8</v>
      </c>
      <c r="I94" s="107">
        <v>120.8</v>
      </c>
      <c r="J94" s="107">
        <v>120.8</v>
      </c>
    </row>
    <row r="95" spans="1:10" ht="45">
      <c r="A95" s="3"/>
      <c r="B95" s="91"/>
      <c r="C95" s="4" t="s">
        <v>94</v>
      </c>
      <c r="D95" s="3"/>
      <c r="E95" s="3"/>
      <c r="F95" s="3"/>
      <c r="G95" s="49" t="s">
        <v>99</v>
      </c>
      <c r="H95" s="92">
        <f>H96+H102+H132</f>
        <v>9548.2999999999993</v>
      </c>
      <c r="I95" s="92">
        <f t="shared" ref="I95:J95" si="28">I96+I102+I132</f>
        <v>8779.6</v>
      </c>
      <c r="J95" s="92">
        <f t="shared" si="28"/>
        <v>8809</v>
      </c>
    </row>
    <row r="96" spans="1:10" ht="15.75">
      <c r="A96" s="3"/>
      <c r="B96" s="91"/>
      <c r="C96" s="28" t="s">
        <v>94</v>
      </c>
      <c r="D96" s="28" t="s">
        <v>95</v>
      </c>
      <c r="E96" s="28"/>
      <c r="F96" s="34"/>
      <c r="G96" s="46" t="s">
        <v>18</v>
      </c>
      <c r="H96" s="40">
        <f t="shared" ref="H96" si="29">H99</f>
        <v>1202</v>
      </c>
      <c r="I96" s="40">
        <f t="shared" ref="I96" si="30">I99</f>
        <v>1268.1000000000001</v>
      </c>
      <c r="J96" s="40">
        <f t="shared" ref="J96" si="31">J99</f>
        <v>1268.1000000000001</v>
      </c>
    </row>
    <row r="97" spans="1:10" ht="25.5">
      <c r="A97" s="3"/>
      <c r="B97" s="91"/>
      <c r="C97" s="16" t="s">
        <v>94</v>
      </c>
      <c r="D97" s="16" t="s">
        <v>95</v>
      </c>
      <c r="E97" s="79">
        <v>9900000000</v>
      </c>
      <c r="F97" s="34"/>
      <c r="G97" s="55" t="s">
        <v>145</v>
      </c>
      <c r="H97" s="41">
        <f t="shared" ref="H97:J98" si="32">H98</f>
        <v>1202</v>
      </c>
      <c r="I97" s="41">
        <f t="shared" si="32"/>
        <v>1268.1000000000001</v>
      </c>
      <c r="J97" s="41">
        <f t="shared" si="32"/>
        <v>1268.1000000000001</v>
      </c>
    </row>
    <row r="98" spans="1:10" ht="26.25">
      <c r="A98" s="3"/>
      <c r="B98" s="91"/>
      <c r="C98" s="16" t="s">
        <v>94</v>
      </c>
      <c r="D98" s="16" t="s">
        <v>95</v>
      </c>
      <c r="E98" s="79">
        <v>9930000000</v>
      </c>
      <c r="F98" s="16"/>
      <c r="G98" s="22" t="s">
        <v>41</v>
      </c>
      <c r="H98" s="41">
        <f t="shared" si="32"/>
        <v>1202</v>
      </c>
      <c r="I98" s="41">
        <f t="shared" si="32"/>
        <v>1268.1000000000001</v>
      </c>
      <c r="J98" s="41">
        <f t="shared" si="32"/>
        <v>1268.1000000000001</v>
      </c>
    </row>
    <row r="99" spans="1:10" ht="51.75">
      <c r="A99" s="3"/>
      <c r="B99" s="91"/>
      <c r="C99" s="16" t="s">
        <v>94</v>
      </c>
      <c r="D99" s="16" t="s">
        <v>95</v>
      </c>
      <c r="E99" s="79">
        <v>9930059302</v>
      </c>
      <c r="F99" s="16"/>
      <c r="G99" s="99" t="s">
        <v>371</v>
      </c>
      <c r="H99" s="39">
        <f t="shared" ref="H99" si="33">SUM(H100:H101)</f>
        <v>1202</v>
      </c>
      <c r="I99" s="39">
        <f t="shared" ref="I99" si="34">SUM(I100:I101)</f>
        <v>1268.1000000000001</v>
      </c>
      <c r="J99" s="39">
        <f t="shared" ref="J99" si="35">SUM(J100:J101)</f>
        <v>1268.1000000000001</v>
      </c>
    </row>
    <row r="100" spans="1:10" ht="38.25">
      <c r="A100" s="3"/>
      <c r="B100" s="91"/>
      <c r="C100" s="16" t="s">
        <v>94</v>
      </c>
      <c r="D100" s="16" t="s">
        <v>95</v>
      </c>
      <c r="E100" s="79">
        <v>9930059302</v>
      </c>
      <c r="F100" s="16" t="s">
        <v>63</v>
      </c>
      <c r="G100" s="55" t="s">
        <v>64</v>
      </c>
      <c r="H100" s="39">
        <f>1136.9+3</f>
        <v>1139.9000000000001</v>
      </c>
      <c r="I100" s="39">
        <v>1136.9000000000001</v>
      </c>
      <c r="J100" s="39">
        <v>1136.9000000000001</v>
      </c>
    </row>
    <row r="101" spans="1:10" ht="38.25">
      <c r="A101" s="3"/>
      <c r="B101" s="91"/>
      <c r="C101" s="16" t="s">
        <v>94</v>
      </c>
      <c r="D101" s="16" t="s">
        <v>95</v>
      </c>
      <c r="E101" s="79">
        <v>9930059302</v>
      </c>
      <c r="F101" s="82" t="s">
        <v>212</v>
      </c>
      <c r="G101" s="98" t="s">
        <v>213</v>
      </c>
      <c r="H101" s="39">
        <f>65.1-3</f>
        <v>62.099999999999994</v>
      </c>
      <c r="I101" s="39">
        <v>131.19999999999999</v>
      </c>
      <c r="J101" s="39">
        <v>131.19999999999999</v>
      </c>
    </row>
    <row r="102" spans="1:10" ht="51.75">
      <c r="A102" s="3"/>
      <c r="B102" s="91"/>
      <c r="C102" s="28" t="s">
        <v>94</v>
      </c>
      <c r="D102" s="28" t="s">
        <v>111</v>
      </c>
      <c r="E102" s="28"/>
      <c r="F102" s="34"/>
      <c r="G102" s="46" t="s">
        <v>127</v>
      </c>
      <c r="H102" s="40">
        <f>H103+H127</f>
        <v>8346.2999999999993</v>
      </c>
      <c r="I102" s="40">
        <f>I103+I127</f>
        <v>7511.5</v>
      </c>
      <c r="J102" s="40">
        <f>J103+J127</f>
        <v>7511.5</v>
      </c>
    </row>
    <row r="103" spans="1:10" ht="90">
      <c r="A103" s="3"/>
      <c r="B103" s="91"/>
      <c r="C103" s="21" t="s">
        <v>94</v>
      </c>
      <c r="D103" s="21" t="s">
        <v>111</v>
      </c>
      <c r="E103" s="73" t="s">
        <v>51</v>
      </c>
      <c r="F103" s="16"/>
      <c r="G103" s="64" t="s">
        <v>622</v>
      </c>
      <c r="H103" s="59">
        <f>H104+H110+H115+H121</f>
        <v>2334.7999999999997</v>
      </c>
      <c r="I103" s="59">
        <f t="shared" ref="I103:J103" si="36">I104+I110+I115+I121</f>
        <v>1500</v>
      </c>
      <c r="J103" s="59">
        <f t="shared" si="36"/>
        <v>1500</v>
      </c>
    </row>
    <row r="104" spans="1:10" ht="54.75" customHeight="1">
      <c r="A104" s="3"/>
      <c r="B104" s="91"/>
      <c r="C104" s="21" t="s">
        <v>94</v>
      </c>
      <c r="D104" s="21" t="s">
        <v>111</v>
      </c>
      <c r="E104" s="52" t="s">
        <v>52</v>
      </c>
      <c r="F104" s="16"/>
      <c r="G104" s="48" t="s">
        <v>204</v>
      </c>
      <c r="H104" s="93">
        <f>H106+H108</f>
        <v>337.4</v>
      </c>
      <c r="I104" s="93">
        <f t="shared" ref="I104:J104" si="37">I106+I108</f>
        <v>80</v>
      </c>
      <c r="J104" s="93">
        <f t="shared" si="37"/>
        <v>80</v>
      </c>
    </row>
    <row r="105" spans="1:10" ht="64.5">
      <c r="A105" s="3"/>
      <c r="B105" s="91"/>
      <c r="C105" s="21" t="s">
        <v>94</v>
      </c>
      <c r="D105" s="21" t="s">
        <v>111</v>
      </c>
      <c r="E105" s="21" t="s">
        <v>219</v>
      </c>
      <c r="F105" s="16"/>
      <c r="G105" s="99" t="s">
        <v>295</v>
      </c>
      <c r="H105" s="39">
        <f>H106+H108</f>
        <v>337.4</v>
      </c>
      <c r="I105" s="39">
        <f t="shared" ref="I105:J105" si="38">I106+I108</f>
        <v>80</v>
      </c>
      <c r="J105" s="39">
        <f t="shared" si="38"/>
        <v>80</v>
      </c>
    </row>
    <row r="106" spans="1:10" ht="39">
      <c r="A106" s="3"/>
      <c r="B106" s="91"/>
      <c r="C106" s="21" t="s">
        <v>94</v>
      </c>
      <c r="D106" s="21" t="s">
        <v>111</v>
      </c>
      <c r="E106" s="74">
        <v>1110123305</v>
      </c>
      <c r="F106" s="16"/>
      <c r="G106" s="99" t="s">
        <v>218</v>
      </c>
      <c r="H106" s="39">
        <f>H107</f>
        <v>309.7</v>
      </c>
      <c r="I106" s="39">
        <f>I107</f>
        <v>40</v>
      </c>
      <c r="J106" s="39">
        <f>J107</f>
        <v>40</v>
      </c>
    </row>
    <row r="107" spans="1:10" ht="38.25">
      <c r="A107" s="3"/>
      <c r="B107" s="91"/>
      <c r="C107" s="21" t="s">
        <v>94</v>
      </c>
      <c r="D107" s="21" t="s">
        <v>111</v>
      </c>
      <c r="E107" s="74">
        <v>1110123305</v>
      </c>
      <c r="F107" s="82" t="s">
        <v>212</v>
      </c>
      <c r="G107" s="98" t="s">
        <v>213</v>
      </c>
      <c r="H107" s="39">
        <f>297.4+12.3</f>
        <v>309.7</v>
      </c>
      <c r="I107" s="39">
        <v>40</v>
      </c>
      <c r="J107" s="39">
        <v>40</v>
      </c>
    </row>
    <row r="108" spans="1:10" ht="51.75">
      <c r="A108" s="3"/>
      <c r="B108" s="91"/>
      <c r="C108" s="21" t="s">
        <v>94</v>
      </c>
      <c r="D108" s="21" t="s">
        <v>111</v>
      </c>
      <c r="E108" s="74">
        <v>1110123310</v>
      </c>
      <c r="F108" s="16"/>
      <c r="G108" s="99" t="s">
        <v>206</v>
      </c>
      <c r="H108" s="41">
        <f>H109</f>
        <v>27.7</v>
      </c>
      <c r="I108" s="41">
        <f>I109</f>
        <v>40</v>
      </c>
      <c r="J108" s="41">
        <f>J109</f>
        <v>40</v>
      </c>
    </row>
    <row r="109" spans="1:10" ht="38.25">
      <c r="A109" s="3"/>
      <c r="B109" s="91"/>
      <c r="C109" s="21" t="s">
        <v>94</v>
      </c>
      <c r="D109" s="21" t="s">
        <v>111</v>
      </c>
      <c r="E109" s="74">
        <v>1110123310</v>
      </c>
      <c r="F109" s="82" t="s">
        <v>212</v>
      </c>
      <c r="G109" s="98" t="s">
        <v>213</v>
      </c>
      <c r="H109" s="41">
        <f>40-12.3</f>
        <v>27.7</v>
      </c>
      <c r="I109" s="41">
        <v>40</v>
      </c>
      <c r="J109" s="41">
        <v>40</v>
      </c>
    </row>
    <row r="110" spans="1:10" ht="39">
      <c r="A110" s="3"/>
      <c r="B110" s="91"/>
      <c r="C110" s="21" t="s">
        <v>94</v>
      </c>
      <c r="D110" s="21" t="s">
        <v>111</v>
      </c>
      <c r="E110" s="52" t="s">
        <v>53</v>
      </c>
      <c r="F110" s="82"/>
      <c r="G110" s="48" t="s">
        <v>200</v>
      </c>
      <c r="H110" s="41">
        <f t="shared" ref="H110:J111" si="39">H111</f>
        <v>1972.3999999999999</v>
      </c>
      <c r="I110" s="41">
        <f t="shared" si="39"/>
        <v>1400</v>
      </c>
      <c r="J110" s="41">
        <f t="shared" si="39"/>
        <v>1400</v>
      </c>
    </row>
    <row r="111" spans="1:10" ht="51.75">
      <c r="A111" s="3"/>
      <c r="B111" s="91"/>
      <c r="C111" s="21" t="s">
        <v>94</v>
      </c>
      <c r="D111" s="21" t="s">
        <v>111</v>
      </c>
      <c r="E111" s="21" t="s">
        <v>220</v>
      </c>
      <c r="F111" s="82"/>
      <c r="G111" s="99" t="s">
        <v>306</v>
      </c>
      <c r="H111" s="41">
        <f t="shared" si="39"/>
        <v>1972.3999999999999</v>
      </c>
      <c r="I111" s="41">
        <f t="shared" si="39"/>
        <v>1400</v>
      </c>
      <c r="J111" s="41">
        <f t="shared" si="39"/>
        <v>1400</v>
      </c>
    </row>
    <row r="112" spans="1:10" ht="38.25">
      <c r="A112" s="3"/>
      <c r="B112" s="91"/>
      <c r="C112" s="21" t="s">
        <v>94</v>
      </c>
      <c r="D112" s="21" t="s">
        <v>111</v>
      </c>
      <c r="E112" s="74">
        <v>1120123315</v>
      </c>
      <c r="F112" s="16"/>
      <c r="G112" s="98" t="s">
        <v>537</v>
      </c>
      <c r="H112" s="41">
        <f>SUM(H113:H114)</f>
        <v>1972.3999999999999</v>
      </c>
      <c r="I112" s="41">
        <f>SUM(I113:I114)</f>
        <v>1400</v>
      </c>
      <c r="J112" s="41">
        <f>SUM(J113:J114)</f>
        <v>1400</v>
      </c>
    </row>
    <row r="113" spans="1:10" ht="25.5">
      <c r="A113" s="3"/>
      <c r="B113" s="91"/>
      <c r="C113" s="21" t="s">
        <v>94</v>
      </c>
      <c r="D113" s="21" t="s">
        <v>111</v>
      </c>
      <c r="E113" s="74">
        <v>1120123315</v>
      </c>
      <c r="F113" s="82" t="s">
        <v>65</v>
      </c>
      <c r="G113" s="55" t="s">
        <v>131</v>
      </c>
      <c r="H113" s="41">
        <v>118.1</v>
      </c>
      <c r="I113" s="41">
        <v>51.2</v>
      </c>
      <c r="J113" s="41">
        <v>51.2</v>
      </c>
    </row>
    <row r="114" spans="1:10" ht="38.25">
      <c r="A114" s="3"/>
      <c r="B114" s="91"/>
      <c r="C114" s="21" t="s">
        <v>94</v>
      </c>
      <c r="D114" s="21" t="s">
        <v>111</v>
      </c>
      <c r="E114" s="74">
        <v>1120123315</v>
      </c>
      <c r="F114" s="82" t="s">
        <v>212</v>
      </c>
      <c r="G114" s="98" t="s">
        <v>213</v>
      </c>
      <c r="H114" s="41">
        <v>1854.3</v>
      </c>
      <c r="I114" s="41">
        <v>1348.8</v>
      </c>
      <c r="J114" s="41">
        <v>1348.8</v>
      </c>
    </row>
    <row r="115" spans="1:10" ht="51.75">
      <c r="A115" s="3"/>
      <c r="B115" s="91"/>
      <c r="C115" s="21" t="s">
        <v>94</v>
      </c>
      <c r="D115" s="21" t="s">
        <v>111</v>
      </c>
      <c r="E115" s="52" t="s">
        <v>54</v>
      </c>
      <c r="F115" s="16"/>
      <c r="G115" s="48" t="s">
        <v>253</v>
      </c>
      <c r="H115" s="93">
        <f>H116</f>
        <v>10</v>
      </c>
      <c r="I115" s="93">
        <f>I116</f>
        <v>5</v>
      </c>
      <c r="J115" s="93">
        <f>J116</f>
        <v>5</v>
      </c>
    </row>
    <row r="116" spans="1:10" ht="67.5" customHeight="1">
      <c r="A116" s="3"/>
      <c r="B116" s="91"/>
      <c r="C116" s="21" t="s">
        <v>94</v>
      </c>
      <c r="D116" s="21" t="s">
        <v>111</v>
      </c>
      <c r="E116" s="21" t="s">
        <v>221</v>
      </c>
      <c r="F116" s="16"/>
      <c r="G116" s="99" t="s">
        <v>315</v>
      </c>
      <c r="H116" s="39">
        <f>H117+H119</f>
        <v>10</v>
      </c>
      <c r="I116" s="39">
        <f>I117+I119</f>
        <v>5</v>
      </c>
      <c r="J116" s="39">
        <f>J117+J119</f>
        <v>5</v>
      </c>
    </row>
    <row r="117" spans="1:10" ht="25.5">
      <c r="A117" s="3"/>
      <c r="B117" s="91"/>
      <c r="C117" s="21" t="s">
        <v>94</v>
      </c>
      <c r="D117" s="21" t="s">
        <v>111</v>
      </c>
      <c r="E117" s="74">
        <v>1130123320</v>
      </c>
      <c r="F117" s="16"/>
      <c r="G117" s="98" t="s">
        <v>254</v>
      </c>
      <c r="H117" s="41">
        <f>H118</f>
        <v>6.8</v>
      </c>
      <c r="I117" s="41">
        <f>I118</f>
        <v>4</v>
      </c>
      <c r="J117" s="41">
        <f>J118</f>
        <v>4</v>
      </c>
    </row>
    <row r="118" spans="1:10" ht="38.25">
      <c r="A118" s="3"/>
      <c r="B118" s="91"/>
      <c r="C118" s="21" t="s">
        <v>94</v>
      </c>
      <c r="D118" s="21" t="s">
        <v>111</v>
      </c>
      <c r="E118" s="74">
        <v>1130123320</v>
      </c>
      <c r="F118" s="82" t="s">
        <v>212</v>
      </c>
      <c r="G118" s="98" t="s">
        <v>213</v>
      </c>
      <c r="H118" s="41">
        <f>8-1.2</f>
        <v>6.8</v>
      </c>
      <c r="I118" s="41">
        <v>4</v>
      </c>
      <c r="J118" s="41">
        <v>4</v>
      </c>
    </row>
    <row r="119" spans="1:10" ht="38.25">
      <c r="A119" s="3"/>
      <c r="B119" s="91"/>
      <c r="C119" s="21" t="s">
        <v>94</v>
      </c>
      <c r="D119" s="21" t="s">
        <v>111</v>
      </c>
      <c r="E119" s="74">
        <v>1130123325</v>
      </c>
      <c r="F119" s="16"/>
      <c r="G119" s="98" t="s">
        <v>222</v>
      </c>
      <c r="H119" s="41">
        <f>H120</f>
        <v>3.2</v>
      </c>
      <c r="I119" s="41">
        <f>I120</f>
        <v>1</v>
      </c>
      <c r="J119" s="41">
        <f>J120</f>
        <v>1</v>
      </c>
    </row>
    <row r="120" spans="1:10" ht="38.25">
      <c r="A120" s="3"/>
      <c r="B120" s="91"/>
      <c r="C120" s="21" t="s">
        <v>94</v>
      </c>
      <c r="D120" s="21" t="s">
        <v>111</v>
      </c>
      <c r="E120" s="74">
        <v>1130123325</v>
      </c>
      <c r="F120" s="82" t="s">
        <v>212</v>
      </c>
      <c r="G120" s="98" t="s">
        <v>213</v>
      </c>
      <c r="H120" s="41">
        <f>2+1.2</f>
        <v>3.2</v>
      </c>
      <c r="I120" s="41">
        <v>1</v>
      </c>
      <c r="J120" s="41">
        <v>1</v>
      </c>
    </row>
    <row r="121" spans="1:10" ht="64.5">
      <c r="A121" s="3"/>
      <c r="B121" s="91"/>
      <c r="C121" s="21" t="s">
        <v>94</v>
      </c>
      <c r="D121" s="21" t="s">
        <v>111</v>
      </c>
      <c r="E121" s="52" t="s">
        <v>55</v>
      </c>
      <c r="F121" s="16"/>
      <c r="G121" s="48" t="s">
        <v>205</v>
      </c>
      <c r="H121" s="93">
        <f>H122</f>
        <v>15</v>
      </c>
      <c r="I121" s="93">
        <f t="shared" ref="I121:J121" si="40">I122</f>
        <v>15</v>
      </c>
      <c r="J121" s="93">
        <f t="shared" si="40"/>
        <v>15</v>
      </c>
    </row>
    <row r="122" spans="1:10" ht="51" customHeight="1">
      <c r="A122" s="3"/>
      <c r="B122" s="91"/>
      <c r="C122" s="21" t="s">
        <v>94</v>
      </c>
      <c r="D122" s="21" t="s">
        <v>111</v>
      </c>
      <c r="E122" s="21" t="s">
        <v>294</v>
      </c>
      <c r="F122" s="82"/>
      <c r="G122" s="98" t="s">
        <v>223</v>
      </c>
      <c r="H122" s="41">
        <f>H123+H125</f>
        <v>15</v>
      </c>
      <c r="I122" s="41">
        <f t="shared" ref="I122:J122" si="41">I123+I125</f>
        <v>15</v>
      </c>
      <c r="J122" s="41">
        <f t="shared" si="41"/>
        <v>15</v>
      </c>
    </row>
    <row r="123" spans="1:10" ht="25.5">
      <c r="A123" s="3"/>
      <c r="B123" s="91"/>
      <c r="C123" s="21" t="s">
        <v>94</v>
      </c>
      <c r="D123" s="21" t="s">
        <v>111</v>
      </c>
      <c r="E123" s="74">
        <v>1140123330</v>
      </c>
      <c r="F123" s="16"/>
      <c r="G123" s="98" t="s">
        <v>194</v>
      </c>
      <c r="H123" s="41">
        <f>H124</f>
        <v>12</v>
      </c>
      <c r="I123" s="41">
        <f>I124</f>
        <v>12</v>
      </c>
      <c r="J123" s="41">
        <f>J124</f>
        <v>12</v>
      </c>
    </row>
    <row r="124" spans="1:10" ht="38.25">
      <c r="A124" s="3"/>
      <c r="B124" s="91"/>
      <c r="C124" s="21" t="s">
        <v>94</v>
      </c>
      <c r="D124" s="21" t="s">
        <v>111</v>
      </c>
      <c r="E124" s="74">
        <v>1140123330</v>
      </c>
      <c r="F124" s="82" t="s">
        <v>212</v>
      </c>
      <c r="G124" s="98" t="s">
        <v>213</v>
      </c>
      <c r="H124" s="41">
        <v>12</v>
      </c>
      <c r="I124" s="41">
        <v>12</v>
      </c>
      <c r="J124" s="41">
        <v>12</v>
      </c>
    </row>
    <row r="125" spans="1:10" ht="38.25">
      <c r="A125" s="3"/>
      <c r="B125" s="91"/>
      <c r="C125" s="21" t="s">
        <v>94</v>
      </c>
      <c r="D125" s="21" t="s">
        <v>111</v>
      </c>
      <c r="E125" s="74">
        <v>1140123335</v>
      </c>
      <c r="F125" s="16"/>
      <c r="G125" s="98" t="s">
        <v>224</v>
      </c>
      <c r="H125" s="41">
        <f>H126</f>
        <v>3</v>
      </c>
      <c r="I125" s="41">
        <f>I126</f>
        <v>3</v>
      </c>
      <c r="J125" s="41">
        <f>J126</f>
        <v>3</v>
      </c>
    </row>
    <row r="126" spans="1:10" ht="38.25">
      <c r="A126" s="3"/>
      <c r="B126" s="91"/>
      <c r="C126" s="21" t="s">
        <v>94</v>
      </c>
      <c r="D126" s="21" t="s">
        <v>111</v>
      </c>
      <c r="E126" s="74">
        <v>1140123335</v>
      </c>
      <c r="F126" s="82" t="s">
        <v>212</v>
      </c>
      <c r="G126" s="98" t="s">
        <v>213</v>
      </c>
      <c r="H126" s="41">
        <v>3</v>
      </c>
      <c r="I126" s="41">
        <v>3</v>
      </c>
      <c r="J126" s="41">
        <v>3</v>
      </c>
    </row>
    <row r="127" spans="1:10" ht="25.5">
      <c r="A127" s="3"/>
      <c r="B127" s="91"/>
      <c r="C127" s="81" t="s">
        <v>94</v>
      </c>
      <c r="D127" s="81" t="s">
        <v>111</v>
      </c>
      <c r="E127" s="73" t="s">
        <v>195</v>
      </c>
      <c r="F127" s="33"/>
      <c r="G127" s="84" t="s">
        <v>145</v>
      </c>
      <c r="H127" s="61">
        <f t="shared" ref="H127:J127" si="42">H128</f>
        <v>6011.5</v>
      </c>
      <c r="I127" s="61">
        <f t="shared" si="42"/>
        <v>6011.5</v>
      </c>
      <c r="J127" s="61">
        <f t="shared" si="42"/>
        <v>6011.5</v>
      </c>
    </row>
    <row r="128" spans="1:10" ht="63.75">
      <c r="A128" s="3"/>
      <c r="B128" s="91"/>
      <c r="C128" s="21" t="s">
        <v>94</v>
      </c>
      <c r="D128" s="21" t="s">
        <v>111</v>
      </c>
      <c r="E128" s="21" t="s">
        <v>570</v>
      </c>
      <c r="F128" s="47"/>
      <c r="G128" s="54" t="s">
        <v>574</v>
      </c>
      <c r="H128" s="41">
        <f>SUM(H129:H131)</f>
        <v>6011.5</v>
      </c>
      <c r="I128" s="41">
        <f>SUM(I129:I131)</f>
        <v>6011.5</v>
      </c>
      <c r="J128" s="41">
        <f t="shared" ref="J128" si="43">SUM(J129:J131)</f>
        <v>6011.5</v>
      </c>
    </row>
    <row r="129" spans="1:10" ht="25.5">
      <c r="A129" s="3"/>
      <c r="B129" s="91"/>
      <c r="C129" s="21" t="s">
        <v>94</v>
      </c>
      <c r="D129" s="21" t="s">
        <v>111</v>
      </c>
      <c r="E129" s="21" t="s">
        <v>570</v>
      </c>
      <c r="F129" s="16" t="s">
        <v>65</v>
      </c>
      <c r="G129" s="102" t="s">
        <v>131</v>
      </c>
      <c r="H129" s="41">
        <f>4638.4+525</f>
        <v>5163.3999999999996</v>
      </c>
      <c r="I129" s="41">
        <f>4638.4+525</f>
        <v>5163.3999999999996</v>
      </c>
      <c r="J129" s="41">
        <f>4638.4+525</f>
        <v>5163.3999999999996</v>
      </c>
    </row>
    <row r="130" spans="1:10" ht="38.25">
      <c r="A130" s="3"/>
      <c r="B130" s="91"/>
      <c r="C130" s="21" t="s">
        <v>94</v>
      </c>
      <c r="D130" s="21" t="s">
        <v>111</v>
      </c>
      <c r="E130" s="21" t="s">
        <v>570</v>
      </c>
      <c r="F130" s="82" t="s">
        <v>212</v>
      </c>
      <c r="G130" s="98" t="s">
        <v>213</v>
      </c>
      <c r="H130" s="41">
        <v>843.1</v>
      </c>
      <c r="I130" s="41">
        <v>843.1</v>
      </c>
      <c r="J130" s="41">
        <v>843.1</v>
      </c>
    </row>
    <row r="131" spans="1:10" ht="25.5">
      <c r="A131" s="3"/>
      <c r="B131" s="91"/>
      <c r="C131" s="21" t="s">
        <v>94</v>
      </c>
      <c r="D131" s="21" t="s">
        <v>111</v>
      </c>
      <c r="E131" s="21" t="s">
        <v>570</v>
      </c>
      <c r="F131" s="82" t="s">
        <v>132</v>
      </c>
      <c r="G131" s="98" t="s">
        <v>133</v>
      </c>
      <c r="H131" s="41">
        <v>5</v>
      </c>
      <c r="I131" s="41">
        <v>5</v>
      </c>
      <c r="J131" s="41">
        <v>5</v>
      </c>
    </row>
    <row r="132" spans="1:10" ht="39">
      <c r="A132" s="3"/>
      <c r="B132" s="91"/>
      <c r="C132" s="28" t="s">
        <v>94</v>
      </c>
      <c r="D132" s="28" t="s">
        <v>122</v>
      </c>
      <c r="E132" s="28"/>
      <c r="F132" s="34"/>
      <c r="G132" s="46" t="s">
        <v>22</v>
      </c>
      <c r="H132" s="40">
        <f>H133</f>
        <v>0</v>
      </c>
      <c r="I132" s="40">
        <f t="shared" ref="I132:J132" si="44">I133</f>
        <v>0</v>
      </c>
      <c r="J132" s="40">
        <f t="shared" si="44"/>
        <v>29.4</v>
      </c>
    </row>
    <row r="133" spans="1:10" ht="90.75" customHeight="1">
      <c r="A133" s="3"/>
      <c r="B133" s="91"/>
      <c r="C133" s="73" t="s">
        <v>94</v>
      </c>
      <c r="D133" s="73" t="s">
        <v>122</v>
      </c>
      <c r="E133" s="73" t="s">
        <v>228</v>
      </c>
      <c r="F133" s="16"/>
      <c r="G133" s="64" t="s">
        <v>627</v>
      </c>
      <c r="H133" s="96">
        <f t="shared" ref="H133:J134" si="45">H134</f>
        <v>0</v>
      </c>
      <c r="I133" s="96">
        <f t="shared" si="45"/>
        <v>0</v>
      </c>
      <c r="J133" s="96">
        <f t="shared" si="45"/>
        <v>29.4</v>
      </c>
    </row>
    <row r="134" spans="1:10" ht="51.75">
      <c r="A134" s="3"/>
      <c r="B134" s="91"/>
      <c r="C134" s="21" t="s">
        <v>94</v>
      </c>
      <c r="D134" s="21" t="s">
        <v>122</v>
      </c>
      <c r="E134" s="52" t="s">
        <v>229</v>
      </c>
      <c r="F134" s="16"/>
      <c r="G134" s="48" t="s">
        <v>230</v>
      </c>
      <c r="H134" s="58">
        <f>H135</f>
        <v>0</v>
      </c>
      <c r="I134" s="58">
        <f t="shared" si="45"/>
        <v>0</v>
      </c>
      <c r="J134" s="58">
        <f t="shared" si="45"/>
        <v>29.4</v>
      </c>
    </row>
    <row r="135" spans="1:10" ht="51.75">
      <c r="A135" s="3"/>
      <c r="B135" s="91"/>
      <c r="C135" s="21" t="s">
        <v>94</v>
      </c>
      <c r="D135" s="21" t="s">
        <v>122</v>
      </c>
      <c r="E135" s="21" t="s">
        <v>231</v>
      </c>
      <c r="F135" s="16"/>
      <c r="G135" s="99" t="s">
        <v>232</v>
      </c>
      <c r="H135" s="94">
        <f>H136+H138</f>
        <v>0</v>
      </c>
      <c r="I135" s="94">
        <f t="shared" ref="I135:J135" si="46">I136+I138</f>
        <v>0</v>
      </c>
      <c r="J135" s="94">
        <f t="shared" si="46"/>
        <v>29.4</v>
      </c>
    </row>
    <row r="136" spans="1:10" ht="38.25">
      <c r="A136" s="3"/>
      <c r="B136" s="91"/>
      <c r="C136" s="21" t="s">
        <v>94</v>
      </c>
      <c r="D136" s="21" t="s">
        <v>122</v>
      </c>
      <c r="E136" s="21" t="s">
        <v>567</v>
      </c>
      <c r="F136" s="16"/>
      <c r="G136" s="98" t="s">
        <v>364</v>
      </c>
      <c r="H136" s="94">
        <f t="shared" ref="H136:J138" si="47">H137</f>
        <v>0</v>
      </c>
      <c r="I136" s="94">
        <f t="shared" si="47"/>
        <v>0</v>
      </c>
      <c r="J136" s="94">
        <f t="shared" si="47"/>
        <v>23.4</v>
      </c>
    </row>
    <row r="137" spans="1:10" ht="38.25">
      <c r="A137" s="3"/>
      <c r="B137" s="91"/>
      <c r="C137" s="21" t="s">
        <v>94</v>
      </c>
      <c r="D137" s="21" t="s">
        <v>122</v>
      </c>
      <c r="E137" s="21" t="s">
        <v>567</v>
      </c>
      <c r="F137" s="82" t="s">
        <v>212</v>
      </c>
      <c r="G137" s="98" t="s">
        <v>213</v>
      </c>
      <c r="H137" s="41">
        <v>0</v>
      </c>
      <c r="I137" s="41">
        <v>0</v>
      </c>
      <c r="J137" s="41">
        <v>23.4</v>
      </c>
    </row>
    <row r="138" spans="1:10" ht="25.5">
      <c r="A138" s="3"/>
      <c r="B138" s="91"/>
      <c r="C138" s="21" t="s">
        <v>94</v>
      </c>
      <c r="D138" s="21" t="s">
        <v>122</v>
      </c>
      <c r="E138" s="21" t="s">
        <v>568</v>
      </c>
      <c r="F138" s="16"/>
      <c r="G138" s="98" t="s">
        <v>365</v>
      </c>
      <c r="H138" s="94">
        <f t="shared" si="47"/>
        <v>0</v>
      </c>
      <c r="I138" s="94">
        <f t="shared" si="47"/>
        <v>0</v>
      </c>
      <c r="J138" s="94">
        <f t="shared" si="47"/>
        <v>6</v>
      </c>
    </row>
    <row r="139" spans="1:10" ht="38.25">
      <c r="A139" s="3"/>
      <c r="B139" s="91"/>
      <c r="C139" s="21" t="s">
        <v>94</v>
      </c>
      <c r="D139" s="21" t="s">
        <v>122</v>
      </c>
      <c r="E139" s="21" t="s">
        <v>568</v>
      </c>
      <c r="F139" s="82" t="s">
        <v>212</v>
      </c>
      <c r="G139" s="98" t="s">
        <v>213</v>
      </c>
      <c r="H139" s="41">
        <v>0</v>
      </c>
      <c r="I139" s="41">
        <v>0</v>
      </c>
      <c r="J139" s="41">
        <v>6</v>
      </c>
    </row>
    <row r="140" spans="1:10" ht="15.75">
      <c r="A140" s="3"/>
      <c r="B140" s="91"/>
      <c r="C140" s="4" t="s">
        <v>95</v>
      </c>
      <c r="D140" s="3"/>
      <c r="E140" s="3"/>
      <c r="F140" s="3"/>
      <c r="G140" s="49" t="s">
        <v>101</v>
      </c>
      <c r="H140" s="59">
        <f>H141+H152+H164+H213</f>
        <v>196156.50000000006</v>
      </c>
      <c r="I140" s="59">
        <f>I141+I152+I164+I213</f>
        <v>157267.80000000002</v>
      </c>
      <c r="J140" s="59">
        <f>J141+J152+J164+J213</f>
        <v>180002.90000000002</v>
      </c>
    </row>
    <row r="141" spans="1:10" s="32" customFormat="1" ht="14.25">
      <c r="A141" s="29"/>
      <c r="B141" s="24"/>
      <c r="C141" s="30" t="s">
        <v>95</v>
      </c>
      <c r="D141" s="30" t="s">
        <v>96</v>
      </c>
      <c r="E141" s="30"/>
      <c r="F141" s="30"/>
      <c r="G141" s="45" t="s">
        <v>104</v>
      </c>
      <c r="H141" s="40">
        <f>H142+H147</f>
        <v>5021.8</v>
      </c>
      <c r="I141" s="40">
        <f t="shared" ref="I141:J141" si="48">I142+I147</f>
        <v>1563</v>
      </c>
      <c r="J141" s="40">
        <f t="shared" si="48"/>
        <v>2222.9</v>
      </c>
    </row>
    <row r="142" spans="1:10" s="32" customFormat="1" ht="89.25">
      <c r="A142" s="29"/>
      <c r="B142" s="24"/>
      <c r="C142" s="82" t="s">
        <v>95</v>
      </c>
      <c r="D142" s="82" t="s">
        <v>96</v>
      </c>
      <c r="E142" s="73" t="s">
        <v>70</v>
      </c>
      <c r="F142" s="16"/>
      <c r="G142" s="143" t="s">
        <v>615</v>
      </c>
      <c r="H142" s="96">
        <f>H143</f>
        <v>3973</v>
      </c>
      <c r="I142" s="96">
        <f>I143</f>
        <v>1500</v>
      </c>
      <c r="J142" s="96">
        <f>J143</f>
        <v>2159.9</v>
      </c>
    </row>
    <row r="143" spans="1:10" s="32" customFormat="1" ht="38.25">
      <c r="A143" s="29"/>
      <c r="B143" s="24"/>
      <c r="C143" s="82" t="s">
        <v>95</v>
      </c>
      <c r="D143" s="82" t="s">
        <v>96</v>
      </c>
      <c r="E143" s="52" t="s">
        <v>164</v>
      </c>
      <c r="F143" s="16"/>
      <c r="G143" s="99" t="s">
        <v>163</v>
      </c>
      <c r="H143" s="39">
        <f>H144</f>
        <v>3973</v>
      </c>
      <c r="I143" s="39">
        <f t="shared" ref="I143:J143" si="49">I144</f>
        <v>1500</v>
      </c>
      <c r="J143" s="39">
        <f t="shared" si="49"/>
        <v>2159.9</v>
      </c>
    </row>
    <row r="144" spans="1:10" s="32" customFormat="1" ht="25.5">
      <c r="A144" s="29"/>
      <c r="B144" s="24"/>
      <c r="C144" s="16" t="s">
        <v>95</v>
      </c>
      <c r="D144" s="16" t="s">
        <v>123</v>
      </c>
      <c r="E144" s="21" t="s">
        <v>347</v>
      </c>
      <c r="F144" s="82"/>
      <c r="G144" s="99" t="s">
        <v>343</v>
      </c>
      <c r="H144" s="41">
        <f>H145</f>
        <v>3973</v>
      </c>
      <c r="I144" s="41">
        <f t="shared" ref="I144:J144" si="50">I145</f>
        <v>1500</v>
      </c>
      <c r="J144" s="41">
        <f t="shared" si="50"/>
        <v>2159.9</v>
      </c>
    </row>
    <row r="145" spans="1:10" s="32" customFormat="1" ht="38.25">
      <c r="A145" s="29"/>
      <c r="B145" s="24"/>
      <c r="C145" s="82" t="s">
        <v>95</v>
      </c>
      <c r="D145" s="82" t="s">
        <v>96</v>
      </c>
      <c r="E145" s="21" t="s">
        <v>674</v>
      </c>
      <c r="F145" s="16"/>
      <c r="G145" s="99" t="s">
        <v>737</v>
      </c>
      <c r="H145" s="39">
        <f>H146</f>
        <v>3973</v>
      </c>
      <c r="I145" s="39">
        <f t="shared" ref="I145:J145" si="51">I146</f>
        <v>1500</v>
      </c>
      <c r="J145" s="39">
        <f t="shared" si="51"/>
        <v>2159.9</v>
      </c>
    </row>
    <row r="146" spans="1:10" s="32" customFormat="1" ht="38.25">
      <c r="A146" s="29"/>
      <c r="B146" s="24"/>
      <c r="C146" s="82" t="s">
        <v>95</v>
      </c>
      <c r="D146" s="82" t="s">
        <v>96</v>
      </c>
      <c r="E146" s="21" t="s">
        <v>674</v>
      </c>
      <c r="F146" s="82" t="s">
        <v>212</v>
      </c>
      <c r="G146" s="98" t="s">
        <v>213</v>
      </c>
      <c r="H146" s="39">
        <f>43.7+3929.3</f>
        <v>3973</v>
      </c>
      <c r="I146" s="39">
        <f>16.5+1483.5</f>
        <v>1500</v>
      </c>
      <c r="J146" s="39">
        <f>23.8+2136.1</f>
        <v>2159.9</v>
      </c>
    </row>
    <row r="147" spans="1:10" s="32" customFormat="1" ht="89.25">
      <c r="A147" s="29"/>
      <c r="B147" s="24"/>
      <c r="C147" s="17" t="s">
        <v>95</v>
      </c>
      <c r="D147" s="17" t="s">
        <v>96</v>
      </c>
      <c r="E147" s="74">
        <v>400000000</v>
      </c>
      <c r="F147" s="30"/>
      <c r="G147" s="142" t="s">
        <v>614</v>
      </c>
      <c r="H147" s="96">
        <f t="shared" ref="H147:J150" si="52">H148</f>
        <v>1048.8</v>
      </c>
      <c r="I147" s="96">
        <f t="shared" si="52"/>
        <v>63</v>
      </c>
      <c r="J147" s="96">
        <f t="shared" si="52"/>
        <v>63</v>
      </c>
    </row>
    <row r="148" spans="1:10" s="32" customFormat="1" ht="51" customHeight="1">
      <c r="A148" s="29"/>
      <c r="B148" s="24"/>
      <c r="C148" s="47" t="s">
        <v>95</v>
      </c>
      <c r="D148" s="47" t="s">
        <v>96</v>
      </c>
      <c r="E148" s="75">
        <v>410000000</v>
      </c>
      <c r="F148" s="30"/>
      <c r="G148" s="46" t="s">
        <v>480</v>
      </c>
      <c r="H148" s="93">
        <f t="shared" si="52"/>
        <v>1048.8</v>
      </c>
      <c r="I148" s="93">
        <f t="shared" si="52"/>
        <v>63</v>
      </c>
      <c r="J148" s="93">
        <f t="shared" si="52"/>
        <v>63</v>
      </c>
    </row>
    <row r="149" spans="1:10" s="32" customFormat="1" ht="51">
      <c r="A149" s="29"/>
      <c r="B149" s="24"/>
      <c r="C149" s="82" t="s">
        <v>95</v>
      </c>
      <c r="D149" s="82" t="s">
        <v>96</v>
      </c>
      <c r="E149" s="74">
        <v>410100000</v>
      </c>
      <c r="F149" s="30"/>
      <c r="G149" s="97" t="s">
        <v>481</v>
      </c>
      <c r="H149" s="93">
        <f>H150</f>
        <v>1048.8</v>
      </c>
      <c r="I149" s="93">
        <f t="shared" si="52"/>
        <v>63</v>
      </c>
      <c r="J149" s="93">
        <f t="shared" si="52"/>
        <v>63</v>
      </c>
    </row>
    <row r="150" spans="1:10" s="32" customFormat="1" ht="25.5">
      <c r="A150" s="29"/>
      <c r="B150" s="24"/>
      <c r="C150" s="82" t="s">
        <v>95</v>
      </c>
      <c r="D150" s="82" t="s">
        <v>96</v>
      </c>
      <c r="E150" s="136" t="s">
        <v>696</v>
      </c>
      <c r="F150" s="16"/>
      <c r="G150" s="99" t="s">
        <v>170</v>
      </c>
      <c r="H150" s="39">
        <f>H151</f>
        <v>1048.8</v>
      </c>
      <c r="I150" s="39">
        <f t="shared" si="52"/>
        <v>63</v>
      </c>
      <c r="J150" s="39">
        <f t="shared" si="52"/>
        <v>63</v>
      </c>
    </row>
    <row r="151" spans="1:10" s="32" customFormat="1" ht="38.25">
      <c r="A151" s="29"/>
      <c r="B151" s="24"/>
      <c r="C151" s="82" t="s">
        <v>95</v>
      </c>
      <c r="D151" s="82" t="s">
        <v>96</v>
      </c>
      <c r="E151" s="136" t="s">
        <v>696</v>
      </c>
      <c r="F151" s="82" t="s">
        <v>212</v>
      </c>
      <c r="G151" s="98" t="s">
        <v>213</v>
      </c>
      <c r="H151" s="39">
        <f>1382.3-333.5</f>
        <v>1048.8</v>
      </c>
      <c r="I151" s="39">
        <v>63</v>
      </c>
      <c r="J151" s="39">
        <v>63</v>
      </c>
    </row>
    <row r="152" spans="1:10" ht="14.25">
      <c r="A152" s="1"/>
      <c r="B152" s="25"/>
      <c r="C152" s="30" t="s">
        <v>95</v>
      </c>
      <c r="D152" s="30" t="s">
        <v>102</v>
      </c>
      <c r="E152" s="30"/>
      <c r="F152" s="30"/>
      <c r="G152" s="27" t="s">
        <v>1</v>
      </c>
      <c r="H152" s="40">
        <f t="shared" ref="H152:J152" si="53">H153</f>
        <v>27326.400000000001</v>
      </c>
      <c r="I152" s="40">
        <f t="shared" si="53"/>
        <v>25353.4</v>
      </c>
      <c r="J152" s="40">
        <f t="shared" si="53"/>
        <v>25329.4</v>
      </c>
    </row>
    <row r="153" spans="1:10" ht="102">
      <c r="A153" s="1"/>
      <c r="B153" s="25"/>
      <c r="C153" s="5" t="s">
        <v>95</v>
      </c>
      <c r="D153" s="5" t="s">
        <v>102</v>
      </c>
      <c r="E153" s="73" t="s">
        <v>68</v>
      </c>
      <c r="F153" s="30"/>
      <c r="G153" s="142" t="s">
        <v>620</v>
      </c>
      <c r="H153" s="96">
        <f t="shared" ref="H153:J154" si="54">H154</f>
        <v>27326.400000000001</v>
      </c>
      <c r="I153" s="96">
        <f t="shared" si="54"/>
        <v>25353.4</v>
      </c>
      <c r="J153" s="96">
        <f t="shared" si="54"/>
        <v>25329.4</v>
      </c>
    </row>
    <row r="154" spans="1:10" ht="63.75">
      <c r="A154" s="1"/>
      <c r="B154" s="25"/>
      <c r="C154" s="16" t="s">
        <v>95</v>
      </c>
      <c r="D154" s="16" t="s">
        <v>102</v>
      </c>
      <c r="E154" s="52" t="s">
        <v>215</v>
      </c>
      <c r="F154" s="30"/>
      <c r="G154" s="46" t="s">
        <v>187</v>
      </c>
      <c r="H154" s="93">
        <f>H155</f>
        <v>27326.400000000001</v>
      </c>
      <c r="I154" s="93">
        <f t="shared" si="54"/>
        <v>25353.4</v>
      </c>
      <c r="J154" s="93">
        <f t="shared" si="54"/>
        <v>25329.4</v>
      </c>
    </row>
    <row r="155" spans="1:10" ht="25.5">
      <c r="A155" s="1"/>
      <c r="B155" s="25"/>
      <c r="C155" s="16" t="s">
        <v>95</v>
      </c>
      <c r="D155" s="16" t="s">
        <v>102</v>
      </c>
      <c r="E155" s="74">
        <v>920100000</v>
      </c>
      <c r="F155" s="30"/>
      <c r="G155" s="97" t="s">
        <v>299</v>
      </c>
      <c r="H155" s="39">
        <f>H156+H158+H160+H162</f>
        <v>27326.400000000001</v>
      </c>
      <c r="I155" s="39">
        <f t="shared" ref="I155:J155" si="55">I156+I158+I160+I162</f>
        <v>25353.4</v>
      </c>
      <c r="J155" s="39">
        <f t="shared" si="55"/>
        <v>25329.4</v>
      </c>
    </row>
    <row r="156" spans="1:10" ht="76.5">
      <c r="A156" s="1"/>
      <c r="B156" s="25"/>
      <c r="C156" s="16" t="s">
        <v>95</v>
      </c>
      <c r="D156" s="16" t="s">
        <v>102</v>
      </c>
      <c r="E156" s="74" t="s">
        <v>308</v>
      </c>
      <c r="F156" s="30"/>
      <c r="G156" s="97" t="s">
        <v>216</v>
      </c>
      <c r="H156" s="39">
        <f>H157</f>
        <v>5028.8</v>
      </c>
      <c r="I156" s="39">
        <f>I157</f>
        <v>5039.7</v>
      </c>
      <c r="J156" s="39">
        <f>J157</f>
        <v>5054.8999999999996</v>
      </c>
    </row>
    <row r="157" spans="1:10" ht="38.25">
      <c r="A157" s="1"/>
      <c r="B157" s="25"/>
      <c r="C157" s="16" t="s">
        <v>95</v>
      </c>
      <c r="D157" s="16" t="s">
        <v>102</v>
      </c>
      <c r="E157" s="74" t="s">
        <v>308</v>
      </c>
      <c r="F157" s="82" t="s">
        <v>212</v>
      </c>
      <c r="G157" s="98" t="s">
        <v>213</v>
      </c>
      <c r="H157" s="39">
        <v>5028.8</v>
      </c>
      <c r="I157" s="39">
        <v>5039.7</v>
      </c>
      <c r="J157" s="39">
        <v>5054.8999999999996</v>
      </c>
    </row>
    <row r="158" spans="1:10" ht="53.25" customHeight="1">
      <c r="A158" s="1"/>
      <c r="B158" s="25"/>
      <c r="C158" s="16" t="s">
        <v>95</v>
      </c>
      <c r="D158" s="16" t="s">
        <v>102</v>
      </c>
      <c r="E158" s="74">
        <v>920110300</v>
      </c>
      <c r="F158" s="16"/>
      <c r="G158" s="97" t="s">
        <v>755</v>
      </c>
      <c r="H158" s="39">
        <f>H159</f>
        <v>20115.2</v>
      </c>
      <c r="I158" s="39">
        <f>I159</f>
        <v>20158.8</v>
      </c>
      <c r="J158" s="39">
        <f>J159</f>
        <v>20219.5</v>
      </c>
    </row>
    <row r="159" spans="1:10" ht="38.25">
      <c r="A159" s="1"/>
      <c r="B159" s="25"/>
      <c r="C159" s="16" t="s">
        <v>95</v>
      </c>
      <c r="D159" s="16" t="s">
        <v>102</v>
      </c>
      <c r="E159" s="74">
        <v>920110300</v>
      </c>
      <c r="F159" s="82" t="s">
        <v>212</v>
      </c>
      <c r="G159" s="98" t="s">
        <v>213</v>
      </c>
      <c r="H159" s="39">
        <v>20115.2</v>
      </c>
      <c r="I159" s="39">
        <v>20158.8</v>
      </c>
      <c r="J159" s="39">
        <v>20219.5</v>
      </c>
    </row>
    <row r="160" spans="1:10" ht="63.75">
      <c r="A160" s="1"/>
      <c r="B160" s="25"/>
      <c r="C160" s="16" t="s">
        <v>95</v>
      </c>
      <c r="D160" s="16" t="s">
        <v>102</v>
      </c>
      <c r="E160" s="74">
        <v>920123490</v>
      </c>
      <c r="F160" s="82"/>
      <c r="G160" s="54" t="s">
        <v>533</v>
      </c>
      <c r="H160" s="39">
        <f>H161</f>
        <v>0</v>
      </c>
      <c r="I160" s="39">
        <f t="shared" ref="I160:J160" si="56">I161</f>
        <v>0</v>
      </c>
      <c r="J160" s="39">
        <f t="shared" si="56"/>
        <v>55</v>
      </c>
    </row>
    <row r="161" spans="1:10" ht="38.25">
      <c r="A161" s="1"/>
      <c r="B161" s="25"/>
      <c r="C161" s="16" t="s">
        <v>95</v>
      </c>
      <c r="D161" s="16" t="s">
        <v>102</v>
      </c>
      <c r="E161" s="74">
        <v>920123490</v>
      </c>
      <c r="F161" s="82" t="s">
        <v>212</v>
      </c>
      <c r="G161" s="98" t="s">
        <v>213</v>
      </c>
      <c r="H161" s="39">
        <v>0</v>
      </c>
      <c r="I161" s="39">
        <v>0</v>
      </c>
      <c r="J161" s="39">
        <v>55</v>
      </c>
    </row>
    <row r="162" spans="1:10" ht="77.25" customHeight="1">
      <c r="A162" s="1"/>
      <c r="B162" s="25"/>
      <c r="C162" s="16" t="s">
        <v>95</v>
      </c>
      <c r="D162" s="16" t="s">
        <v>102</v>
      </c>
      <c r="E162" s="74">
        <v>920123495</v>
      </c>
      <c r="F162" s="82"/>
      <c r="G162" s="54" t="s">
        <v>600</v>
      </c>
      <c r="H162" s="39">
        <f>H163</f>
        <v>2182.4</v>
      </c>
      <c r="I162" s="39">
        <f>I163</f>
        <v>154.9</v>
      </c>
      <c r="J162" s="39">
        <f>J163</f>
        <v>0</v>
      </c>
    </row>
    <row r="163" spans="1:10" ht="38.25">
      <c r="A163" s="1"/>
      <c r="B163" s="25"/>
      <c r="C163" s="16" t="s">
        <v>95</v>
      </c>
      <c r="D163" s="16" t="s">
        <v>102</v>
      </c>
      <c r="E163" s="74">
        <v>920123495</v>
      </c>
      <c r="F163" s="82" t="s">
        <v>212</v>
      </c>
      <c r="G163" s="98" t="s">
        <v>213</v>
      </c>
      <c r="H163" s="39">
        <f>2116.9+65.5</f>
        <v>2182.4</v>
      </c>
      <c r="I163" s="39">
        <v>154.9</v>
      </c>
      <c r="J163" s="39">
        <v>0</v>
      </c>
    </row>
    <row r="164" spans="1:10" ht="28.5">
      <c r="A164" s="1"/>
      <c r="B164" s="25"/>
      <c r="C164" s="30" t="s">
        <v>95</v>
      </c>
      <c r="D164" s="30" t="s">
        <v>100</v>
      </c>
      <c r="E164" s="30"/>
      <c r="F164" s="30"/>
      <c r="G164" s="50" t="s">
        <v>199</v>
      </c>
      <c r="H164" s="40">
        <f>+H165+H188+H193</f>
        <v>160642.60000000003</v>
      </c>
      <c r="I164" s="40">
        <f>+I165+I188+I193</f>
        <v>128397.90000000001</v>
      </c>
      <c r="J164" s="40">
        <f>+J165+J188+J193</f>
        <v>150504.4</v>
      </c>
    </row>
    <row r="165" spans="1:10" ht="102">
      <c r="A165" s="1"/>
      <c r="B165" s="25"/>
      <c r="C165" s="5" t="s">
        <v>95</v>
      </c>
      <c r="D165" s="5" t="s">
        <v>100</v>
      </c>
      <c r="E165" s="73" t="s">
        <v>68</v>
      </c>
      <c r="F165" s="30"/>
      <c r="G165" s="142" t="s">
        <v>620</v>
      </c>
      <c r="H165" s="96">
        <f t="shared" ref="H165:J166" si="57">H166</f>
        <v>152644.00000000003</v>
      </c>
      <c r="I165" s="96">
        <f>I166</f>
        <v>123760.1</v>
      </c>
      <c r="J165" s="96">
        <f t="shared" si="57"/>
        <v>141899.9</v>
      </c>
    </row>
    <row r="166" spans="1:10" ht="63.75">
      <c r="A166" s="1"/>
      <c r="B166" s="25"/>
      <c r="C166" s="16" t="s">
        <v>95</v>
      </c>
      <c r="D166" s="16" t="s">
        <v>100</v>
      </c>
      <c r="E166" s="52" t="s">
        <v>69</v>
      </c>
      <c r="F166" s="30"/>
      <c r="G166" s="46" t="s">
        <v>166</v>
      </c>
      <c r="H166" s="93">
        <f>H167</f>
        <v>152644.00000000003</v>
      </c>
      <c r="I166" s="93">
        <f>I167</f>
        <v>123760.1</v>
      </c>
      <c r="J166" s="93">
        <f t="shared" si="57"/>
        <v>141899.9</v>
      </c>
    </row>
    <row r="167" spans="1:10" ht="38.25">
      <c r="A167" s="1"/>
      <c r="B167" s="25"/>
      <c r="C167" s="16" t="s">
        <v>95</v>
      </c>
      <c r="D167" s="16" t="s">
        <v>100</v>
      </c>
      <c r="E167" s="21" t="s">
        <v>298</v>
      </c>
      <c r="F167" s="30"/>
      <c r="G167" s="97" t="s">
        <v>310</v>
      </c>
      <c r="H167" s="39">
        <f>H168+H170+H172+H174+H176+H178+H180+H182+H184+H186</f>
        <v>152644.00000000003</v>
      </c>
      <c r="I167" s="39">
        <f>I168+I170+I172+I174+I176+I178+I180+I182+I184+I186</f>
        <v>123760.1</v>
      </c>
      <c r="J167" s="39">
        <f>J168+J170+J172+J174+J176+J178+J180+J182+J184+J186</f>
        <v>141899.9</v>
      </c>
    </row>
    <row r="168" spans="1:10" ht="89.25">
      <c r="A168" s="1"/>
      <c r="B168" s="25"/>
      <c r="C168" s="16" t="s">
        <v>95</v>
      </c>
      <c r="D168" s="16" t="s">
        <v>100</v>
      </c>
      <c r="E168" s="74">
        <v>910123405</v>
      </c>
      <c r="F168" s="30"/>
      <c r="G168" s="97" t="s">
        <v>297</v>
      </c>
      <c r="H168" s="39">
        <f>H169</f>
        <v>15376.7</v>
      </c>
      <c r="I168" s="39">
        <f>I169</f>
        <v>8086.9</v>
      </c>
      <c r="J168" s="39">
        <f>J169</f>
        <v>15386.8</v>
      </c>
    </row>
    <row r="169" spans="1:10" ht="38.25">
      <c r="A169" s="1"/>
      <c r="B169" s="25"/>
      <c r="C169" s="16" t="s">
        <v>95</v>
      </c>
      <c r="D169" s="16" t="s">
        <v>100</v>
      </c>
      <c r="E169" s="74">
        <v>910123405</v>
      </c>
      <c r="F169" s="82" t="s">
        <v>212</v>
      </c>
      <c r="G169" s="98" t="s">
        <v>213</v>
      </c>
      <c r="H169" s="39">
        <v>15376.7</v>
      </c>
      <c r="I169" s="39">
        <v>8086.9</v>
      </c>
      <c r="J169" s="39">
        <v>15386.8</v>
      </c>
    </row>
    <row r="170" spans="1:10" ht="62.25" customHeight="1">
      <c r="A170" s="1"/>
      <c r="B170" s="25"/>
      <c r="C170" s="16" t="s">
        <v>95</v>
      </c>
      <c r="D170" s="16" t="s">
        <v>100</v>
      </c>
      <c r="E170" s="74">
        <v>910110520</v>
      </c>
      <c r="F170" s="30"/>
      <c r="G170" s="97" t="s">
        <v>185</v>
      </c>
      <c r="H170" s="39">
        <f>H171</f>
        <v>20020.599999999999</v>
      </c>
      <c r="I170" s="39">
        <f>I171</f>
        <v>20821.400000000001</v>
      </c>
      <c r="J170" s="39">
        <f>J171</f>
        <v>21654.3</v>
      </c>
    </row>
    <row r="171" spans="1:10" ht="38.25">
      <c r="A171" s="1"/>
      <c r="B171" s="25"/>
      <c r="C171" s="16" t="s">
        <v>95</v>
      </c>
      <c r="D171" s="16" t="s">
        <v>100</v>
      </c>
      <c r="E171" s="74">
        <v>910110520</v>
      </c>
      <c r="F171" s="82" t="s">
        <v>212</v>
      </c>
      <c r="G171" s="98" t="s">
        <v>213</v>
      </c>
      <c r="H171" s="1">
        <v>20020.599999999999</v>
      </c>
      <c r="I171" s="39">
        <v>20821.400000000001</v>
      </c>
      <c r="J171" s="1">
        <v>21654.3</v>
      </c>
    </row>
    <row r="172" spans="1:10" ht="25.5">
      <c r="A172" s="1"/>
      <c r="B172" s="25"/>
      <c r="C172" s="16" t="s">
        <v>95</v>
      </c>
      <c r="D172" s="16" t="s">
        <v>100</v>
      </c>
      <c r="E172" s="74">
        <v>910123410</v>
      </c>
      <c r="F172" s="16"/>
      <c r="G172" s="98" t="s">
        <v>186</v>
      </c>
      <c r="H172" s="39">
        <f>H173</f>
        <v>19002.400000000001</v>
      </c>
      <c r="I172" s="39">
        <f>I173</f>
        <v>8022.4000000000005</v>
      </c>
      <c r="J172" s="39">
        <f>J173</f>
        <v>16457</v>
      </c>
    </row>
    <row r="173" spans="1:10" ht="38.25">
      <c r="A173" s="1"/>
      <c r="B173" s="25"/>
      <c r="C173" s="16" t="s">
        <v>95</v>
      </c>
      <c r="D173" s="16" t="s">
        <v>100</v>
      </c>
      <c r="E173" s="74">
        <v>910123410</v>
      </c>
      <c r="F173" s="82" t="s">
        <v>212</v>
      </c>
      <c r="G173" s="98" t="s">
        <v>213</v>
      </c>
      <c r="H173" s="39">
        <f>16457+1413.5+1131.9</f>
        <v>19002.400000000001</v>
      </c>
      <c r="I173" s="39">
        <f>8177.3-154.9</f>
        <v>8022.4000000000005</v>
      </c>
      <c r="J173" s="39">
        <v>16457</v>
      </c>
    </row>
    <row r="174" spans="1:10" ht="102">
      <c r="A174" s="1"/>
      <c r="B174" s="25"/>
      <c r="C174" s="16" t="s">
        <v>95</v>
      </c>
      <c r="D174" s="16" t="s">
        <v>100</v>
      </c>
      <c r="E174" s="74">
        <v>910123415</v>
      </c>
      <c r="F174" s="82"/>
      <c r="G174" s="131" t="s">
        <v>724</v>
      </c>
      <c r="H174" s="39">
        <f>H175</f>
        <v>2263.4</v>
      </c>
      <c r="I174" s="39">
        <f t="shared" ref="I174:J174" si="58">I175</f>
        <v>0</v>
      </c>
      <c r="J174" s="39">
        <f t="shared" si="58"/>
        <v>0</v>
      </c>
    </row>
    <row r="175" spans="1:10" ht="38.25">
      <c r="A175" s="1"/>
      <c r="B175" s="25"/>
      <c r="C175" s="16" t="s">
        <v>95</v>
      </c>
      <c r="D175" s="16" t="s">
        <v>100</v>
      </c>
      <c r="E175" s="74">
        <v>910123415</v>
      </c>
      <c r="F175" s="82" t="s">
        <v>212</v>
      </c>
      <c r="G175" s="98" t="s">
        <v>213</v>
      </c>
      <c r="H175" s="39">
        <f>100+380+5000-3566.6+350</f>
        <v>2263.4</v>
      </c>
      <c r="I175" s="39">
        <v>0</v>
      </c>
      <c r="J175" s="39">
        <v>0</v>
      </c>
    </row>
    <row r="176" spans="1:10" ht="51">
      <c r="A176" s="1"/>
      <c r="B176" s="25"/>
      <c r="C176" s="16" t="s">
        <v>95</v>
      </c>
      <c r="D176" s="16" t="s">
        <v>100</v>
      </c>
      <c r="E176" s="74" t="s">
        <v>353</v>
      </c>
      <c r="F176" s="82"/>
      <c r="G176" s="123" t="s">
        <v>352</v>
      </c>
      <c r="H176" s="39">
        <f>H177</f>
        <v>1144.1000000000004</v>
      </c>
      <c r="I176" s="39">
        <f>I177</f>
        <v>2410.3000000000002</v>
      </c>
      <c r="J176" s="39">
        <f>J177</f>
        <v>2506.8000000000002</v>
      </c>
    </row>
    <row r="177" spans="1:10" ht="38.25">
      <c r="A177" s="1"/>
      <c r="B177" s="25"/>
      <c r="C177" s="16" t="s">
        <v>95</v>
      </c>
      <c r="D177" s="16" t="s">
        <v>100</v>
      </c>
      <c r="E177" s="74" t="s">
        <v>353</v>
      </c>
      <c r="F177" s="82" t="s">
        <v>212</v>
      </c>
      <c r="G177" s="98" t="s">
        <v>213</v>
      </c>
      <c r="H177" s="39">
        <f>2317.6-1000+3130.1-10.9-3292.7</f>
        <v>1144.1000000000004</v>
      </c>
      <c r="I177" s="39">
        <v>2410.3000000000002</v>
      </c>
      <c r="J177" s="39">
        <v>2506.8000000000002</v>
      </c>
    </row>
    <row r="178" spans="1:10" ht="63.75">
      <c r="A178" s="1"/>
      <c r="B178" s="25"/>
      <c r="C178" s="16" t="s">
        <v>95</v>
      </c>
      <c r="D178" s="16" t="s">
        <v>100</v>
      </c>
      <c r="E178" s="138" t="s">
        <v>530</v>
      </c>
      <c r="F178" s="82"/>
      <c r="G178" s="123" t="s">
        <v>354</v>
      </c>
      <c r="H178" s="39">
        <f>H179</f>
        <v>7695.6</v>
      </c>
      <c r="I178" s="39">
        <f>I179</f>
        <v>9641.2999999999993</v>
      </c>
      <c r="J178" s="39">
        <f>J179</f>
        <v>10027</v>
      </c>
    </row>
    <row r="179" spans="1:10" ht="38.25">
      <c r="A179" s="1"/>
      <c r="B179" s="25"/>
      <c r="C179" s="16" t="s">
        <v>95</v>
      </c>
      <c r="D179" s="16" t="s">
        <v>100</v>
      </c>
      <c r="E179" s="138" t="s">
        <v>530</v>
      </c>
      <c r="F179" s="82" t="s">
        <v>212</v>
      </c>
      <c r="G179" s="98" t="s">
        <v>213</v>
      </c>
      <c r="H179" s="1">
        <f>9270.5-1574.9</f>
        <v>7695.6</v>
      </c>
      <c r="I179" s="39">
        <v>9641.2999999999993</v>
      </c>
      <c r="J179" s="149">
        <v>10027</v>
      </c>
    </row>
    <row r="180" spans="1:10" ht="25.5">
      <c r="A180" s="1"/>
      <c r="B180" s="25"/>
      <c r="C180" s="16" t="s">
        <v>95</v>
      </c>
      <c r="D180" s="16" t="s">
        <v>100</v>
      </c>
      <c r="E180" s="74" t="s">
        <v>349</v>
      </c>
      <c r="F180" s="82"/>
      <c r="G180" s="98" t="s">
        <v>350</v>
      </c>
      <c r="H180" s="39">
        <f>H181</f>
        <v>10850.8</v>
      </c>
      <c r="I180" s="39">
        <f>I181</f>
        <v>14955.6</v>
      </c>
      <c r="J180" s="39">
        <f>J181</f>
        <v>15173.6</v>
      </c>
    </row>
    <row r="181" spans="1:10" ht="38.25">
      <c r="A181" s="1"/>
      <c r="B181" s="25"/>
      <c r="C181" s="16" t="s">
        <v>95</v>
      </c>
      <c r="D181" s="16" t="s">
        <v>100</v>
      </c>
      <c r="E181" s="74" t="s">
        <v>349</v>
      </c>
      <c r="F181" s="82" t="s">
        <v>212</v>
      </c>
      <c r="G181" s="98" t="s">
        <v>213</v>
      </c>
      <c r="H181" s="39">
        <f>14380.3+396.5-800-5193.4-1842.6+3931.5-21.5</f>
        <v>10850.8</v>
      </c>
      <c r="I181" s="39">
        <v>14955.6</v>
      </c>
      <c r="J181" s="39">
        <v>15173.6</v>
      </c>
    </row>
    <row r="182" spans="1:10" ht="25.5">
      <c r="A182" s="1"/>
      <c r="B182" s="25"/>
      <c r="C182" s="16" t="s">
        <v>95</v>
      </c>
      <c r="D182" s="16" t="s">
        <v>100</v>
      </c>
      <c r="E182" s="140" t="s">
        <v>531</v>
      </c>
      <c r="F182" s="82"/>
      <c r="G182" s="98" t="s">
        <v>351</v>
      </c>
      <c r="H182" s="39">
        <f>H183</f>
        <v>57521.3</v>
      </c>
      <c r="I182" s="39">
        <f>I183</f>
        <v>59822.2</v>
      </c>
      <c r="J182" s="39">
        <f>J183</f>
        <v>60694.400000000001</v>
      </c>
    </row>
    <row r="183" spans="1:10" ht="38.25">
      <c r="A183" s="1"/>
      <c r="B183" s="25"/>
      <c r="C183" s="16" t="s">
        <v>95</v>
      </c>
      <c r="D183" s="16" t="s">
        <v>100</v>
      </c>
      <c r="E183" s="140" t="s">
        <v>531</v>
      </c>
      <c r="F183" s="82" t="s">
        <v>212</v>
      </c>
      <c r="G183" s="98" t="s">
        <v>213</v>
      </c>
      <c r="H183" s="39">
        <v>57521.3</v>
      </c>
      <c r="I183" s="1">
        <v>59822.2</v>
      </c>
      <c r="J183" s="1">
        <v>60694.400000000001</v>
      </c>
    </row>
    <row r="184" spans="1:10" ht="25.5">
      <c r="A184" s="1"/>
      <c r="B184" s="25"/>
      <c r="C184" s="16" t="s">
        <v>95</v>
      </c>
      <c r="D184" s="16" t="s">
        <v>100</v>
      </c>
      <c r="E184" s="74">
        <v>910123425</v>
      </c>
      <c r="F184" s="82"/>
      <c r="G184" s="98" t="s">
        <v>384</v>
      </c>
      <c r="H184" s="39">
        <f>H185</f>
        <v>17615.100000000002</v>
      </c>
      <c r="I184" s="39">
        <f>I185</f>
        <v>0</v>
      </c>
      <c r="J184" s="39">
        <f>J185</f>
        <v>0</v>
      </c>
    </row>
    <row r="185" spans="1:10" ht="38.25">
      <c r="A185" s="1"/>
      <c r="B185" s="25"/>
      <c r="C185" s="16" t="s">
        <v>95</v>
      </c>
      <c r="D185" s="16" t="s">
        <v>100</v>
      </c>
      <c r="E185" s="74">
        <v>910123425</v>
      </c>
      <c r="F185" s="82" t="s">
        <v>212</v>
      </c>
      <c r="G185" s="98" t="s">
        <v>213</v>
      </c>
      <c r="H185" s="39">
        <f>1590+1493.2+1306.4+2176+2289.3+8760.2</f>
        <v>17615.100000000002</v>
      </c>
      <c r="I185" s="39">
        <v>0</v>
      </c>
      <c r="J185" s="39">
        <v>0</v>
      </c>
    </row>
    <row r="186" spans="1:10">
      <c r="A186" s="1"/>
      <c r="B186" s="25"/>
      <c r="C186" s="16" t="s">
        <v>95</v>
      </c>
      <c r="D186" s="16" t="s">
        <v>100</v>
      </c>
      <c r="E186" s="74">
        <v>910123430</v>
      </c>
      <c r="F186" s="82"/>
      <c r="G186" s="98" t="s">
        <v>656</v>
      </c>
      <c r="H186" s="39">
        <f>H187</f>
        <v>1154</v>
      </c>
      <c r="I186" s="39">
        <f t="shared" ref="I186:J186" si="59">I187</f>
        <v>0</v>
      </c>
      <c r="J186" s="39">
        <f t="shared" si="59"/>
        <v>0</v>
      </c>
    </row>
    <row r="187" spans="1:10" ht="38.25">
      <c r="A187" s="1"/>
      <c r="B187" s="25"/>
      <c r="C187" s="16" t="s">
        <v>95</v>
      </c>
      <c r="D187" s="16" t="s">
        <v>100</v>
      </c>
      <c r="E187" s="74">
        <v>910123430</v>
      </c>
      <c r="F187" s="82" t="s">
        <v>212</v>
      </c>
      <c r="G187" s="98" t="s">
        <v>213</v>
      </c>
      <c r="H187" s="39">
        <f>817+337</f>
        <v>1154</v>
      </c>
      <c r="I187" s="39">
        <v>0</v>
      </c>
      <c r="J187" s="39">
        <v>0</v>
      </c>
    </row>
    <row r="188" spans="1:10" ht="127.5">
      <c r="A188" s="1"/>
      <c r="B188" s="25"/>
      <c r="C188" s="5" t="s">
        <v>95</v>
      </c>
      <c r="D188" s="5" t="s">
        <v>100</v>
      </c>
      <c r="E188" s="73" t="s">
        <v>575</v>
      </c>
      <c r="F188" s="82"/>
      <c r="G188" s="142" t="s">
        <v>626</v>
      </c>
      <c r="H188" s="96">
        <f>H189</f>
        <v>0</v>
      </c>
      <c r="I188" s="96">
        <f t="shared" ref="I188:J188" si="60">I189</f>
        <v>0</v>
      </c>
      <c r="J188" s="96">
        <f t="shared" si="60"/>
        <v>1000</v>
      </c>
    </row>
    <row r="189" spans="1:10" ht="55.5" customHeight="1">
      <c r="A189" s="1"/>
      <c r="B189" s="25"/>
      <c r="C189" s="47" t="s">
        <v>95</v>
      </c>
      <c r="D189" s="47" t="s">
        <v>100</v>
      </c>
      <c r="E189" s="141">
        <v>1510000000</v>
      </c>
      <c r="F189" s="82"/>
      <c r="G189" s="48" t="s">
        <v>368</v>
      </c>
      <c r="H189" s="41">
        <f>H190</f>
        <v>0</v>
      </c>
      <c r="I189" s="41">
        <f t="shared" ref="I189:J191" si="61">I190</f>
        <v>0</v>
      </c>
      <c r="J189" s="41">
        <f t="shared" si="61"/>
        <v>1000</v>
      </c>
    </row>
    <row r="190" spans="1:10" ht="68.25" customHeight="1">
      <c r="A190" s="1"/>
      <c r="B190" s="25"/>
      <c r="C190" s="16" t="s">
        <v>95</v>
      </c>
      <c r="D190" s="16" t="s">
        <v>100</v>
      </c>
      <c r="E190" s="130">
        <v>1510200000</v>
      </c>
      <c r="F190" s="82"/>
      <c r="G190" s="98" t="s">
        <v>599</v>
      </c>
      <c r="H190" s="41">
        <f>H191</f>
        <v>0</v>
      </c>
      <c r="I190" s="41">
        <f t="shared" si="61"/>
        <v>0</v>
      </c>
      <c r="J190" s="41">
        <f t="shared" si="61"/>
        <v>1000</v>
      </c>
    </row>
    <row r="191" spans="1:10" ht="54.75" customHeight="1">
      <c r="A191" s="1"/>
      <c r="B191" s="25"/>
      <c r="C191" s="16" t="s">
        <v>95</v>
      </c>
      <c r="D191" s="16" t="s">
        <v>100</v>
      </c>
      <c r="E191" s="130" t="s">
        <v>577</v>
      </c>
      <c r="F191" s="82"/>
      <c r="G191" s="98" t="s">
        <v>576</v>
      </c>
      <c r="H191" s="41">
        <f>H192</f>
        <v>0</v>
      </c>
      <c r="I191" s="41">
        <f t="shared" si="61"/>
        <v>0</v>
      </c>
      <c r="J191" s="41">
        <f t="shared" si="61"/>
        <v>1000</v>
      </c>
    </row>
    <row r="192" spans="1:10" ht="38.25">
      <c r="A192" s="1"/>
      <c r="B192" s="25"/>
      <c r="C192" s="16" t="s">
        <v>95</v>
      </c>
      <c r="D192" s="16" t="s">
        <v>100</v>
      </c>
      <c r="E192" s="130" t="s">
        <v>577</v>
      </c>
      <c r="F192" s="82" t="s">
        <v>212</v>
      </c>
      <c r="G192" s="98" t="s">
        <v>213</v>
      </c>
      <c r="H192" s="41">
        <f>6842-6842</f>
        <v>0</v>
      </c>
      <c r="I192" s="41">
        <v>0</v>
      </c>
      <c r="J192" s="41">
        <v>1000</v>
      </c>
    </row>
    <row r="193" spans="1:10" ht="90" customHeight="1">
      <c r="A193" s="1"/>
      <c r="B193" s="25"/>
      <c r="C193" s="73" t="s">
        <v>95</v>
      </c>
      <c r="D193" s="73" t="s">
        <v>100</v>
      </c>
      <c r="E193" s="73" t="s">
        <v>228</v>
      </c>
      <c r="F193" s="16"/>
      <c r="G193" s="64" t="s">
        <v>627</v>
      </c>
      <c r="H193" s="96">
        <f>H194</f>
        <v>7998.6</v>
      </c>
      <c r="I193" s="96">
        <f t="shared" ref="I193:J193" si="62">I194</f>
        <v>4637.8</v>
      </c>
      <c r="J193" s="96">
        <f t="shared" si="62"/>
        <v>7604.5</v>
      </c>
    </row>
    <row r="194" spans="1:10" ht="51">
      <c r="A194" s="1"/>
      <c r="B194" s="25"/>
      <c r="C194" s="52" t="s">
        <v>95</v>
      </c>
      <c r="D194" s="52" t="s">
        <v>100</v>
      </c>
      <c r="E194" s="52" t="s">
        <v>229</v>
      </c>
      <c r="F194" s="47"/>
      <c r="G194" s="48" t="s">
        <v>230</v>
      </c>
      <c r="H194" s="96">
        <f>H195+H208</f>
        <v>7998.6</v>
      </c>
      <c r="I194" s="96">
        <f t="shared" ref="I194:J194" si="63">I195+I208</f>
        <v>4637.8</v>
      </c>
      <c r="J194" s="96">
        <f t="shared" si="63"/>
        <v>7604.5</v>
      </c>
    </row>
    <row r="195" spans="1:10" ht="51">
      <c r="A195" s="1"/>
      <c r="B195" s="25"/>
      <c r="C195" s="21" t="s">
        <v>95</v>
      </c>
      <c r="D195" s="21" t="s">
        <v>100</v>
      </c>
      <c r="E195" s="21" t="s">
        <v>231</v>
      </c>
      <c r="F195" s="82"/>
      <c r="G195" s="98" t="s">
        <v>232</v>
      </c>
      <c r="H195" s="41">
        <f>H196+H198+H200+H202+H204+H206</f>
        <v>4926.5</v>
      </c>
      <c r="I195" s="41">
        <f t="shared" ref="I195:J195" si="64">I196+I198+I200+I202+I204+I206</f>
        <v>0</v>
      </c>
      <c r="J195" s="41">
        <f t="shared" si="64"/>
        <v>2781.2</v>
      </c>
    </row>
    <row r="196" spans="1:10" ht="38.25">
      <c r="A196" s="1"/>
      <c r="B196" s="25"/>
      <c r="C196" s="21" t="s">
        <v>95</v>
      </c>
      <c r="D196" s="21" t="s">
        <v>100</v>
      </c>
      <c r="E196" s="21" t="s">
        <v>563</v>
      </c>
      <c r="F196" s="82"/>
      <c r="G196" s="98" t="s">
        <v>346</v>
      </c>
      <c r="H196" s="41">
        <f>H197</f>
        <v>2442.6999999999998</v>
      </c>
      <c r="I196" s="41">
        <f>I197</f>
        <v>0</v>
      </c>
      <c r="J196" s="41">
        <f>J197</f>
        <v>2381.1999999999998</v>
      </c>
    </row>
    <row r="197" spans="1:10" ht="38.25">
      <c r="A197" s="1"/>
      <c r="B197" s="25"/>
      <c r="C197" s="21" t="s">
        <v>95</v>
      </c>
      <c r="D197" s="21" t="s">
        <v>100</v>
      </c>
      <c r="E197" s="21" t="s">
        <v>563</v>
      </c>
      <c r="F197" s="82" t="s">
        <v>212</v>
      </c>
      <c r="G197" s="98" t="s">
        <v>213</v>
      </c>
      <c r="H197" s="41">
        <f>2972.1-529.4</f>
        <v>2442.6999999999998</v>
      </c>
      <c r="I197" s="41">
        <v>0</v>
      </c>
      <c r="J197" s="41">
        <v>2381.1999999999998</v>
      </c>
    </row>
    <row r="198" spans="1:10" ht="25.5">
      <c r="A198" s="1"/>
      <c r="B198" s="25"/>
      <c r="C198" s="21" t="s">
        <v>95</v>
      </c>
      <c r="D198" s="21" t="s">
        <v>100</v>
      </c>
      <c r="E198" s="21" t="s">
        <v>565</v>
      </c>
      <c r="F198" s="82"/>
      <c r="G198" s="98" t="s">
        <v>564</v>
      </c>
      <c r="H198" s="41">
        <f>H199</f>
        <v>529.4</v>
      </c>
      <c r="I198" s="41">
        <f>I199</f>
        <v>0</v>
      </c>
      <c r="J198" s="41">
        <f>J199</f>
        <v>0</v>
      </c>
    </row>
    <row r="199" spans="1:10" ht="38.25">
      <c r="A199" s="1"/>
      <c r="B199" s="25"/>
      <c r="C199" s="21" t="s">
        <v>95</v>
      </c>
      <c r="D199" s="21" t="s">
        <v>100</v>
      </c>
      <c r="E199" s="21" t="s">
        <v>565</v>
      </c>
      <c r="F199" s="82" t="s">
        <v>212</v>
      </c>
      <c r="G199" s="98" t="s">
        <v>213</v>
      </c>
      <c r="H199" s="41">
        <v>529.4</v>
      </c>
      <c r="I199" s="41">
        <v>0</v>
      </c>
      <c r="J199" s="41">
        <v>0</v>
      </c>
    </row>
    <row r="200" spans="1:10" ht="25.5">
      <c r="A200" s="1"/>
      <c r="B200" s="25"/>
      <c r="C200" s="21" t="s">
        <v>95</v>
      </c>
      <c r="D200" s="21" t="s">
        <v>100</v>
      </c>
      <c r="E200" s="21" t="s">
        <v>566</v>
      </c>
      <c r="F200" s="16"/>
      <c r="G200" s="98" t="s">
        <v>335</v>
      </c>
      <c r="H200" s="41">
        <f>H201</f>
        <v>385</v>
      </c>
      <c r="I200" s="41">
        <f>I201</f>
        <v>0</v>
      </c>
      <c r="J200" s="41">
        <f>J201</f>
        <v>400</v>
      </c>
    </row>
    <row r="201" spans="1:10" ht="38.25">
      <c r="A201" s="1"/>
      <c r="B201" s="25"/>
      <c r="C201" s="21" t="s">
        <v>95</v>
      </c>
      <c r="D201" s="21" t="s">
        <v>100</v>
      </c>
      <c r="E201" s="21" t="s">
        <v>566</v>
      </c>
      <c r="F201" s="82" t="s">
        <v>212</v>
      </c>
      <c r="G201" s="98" t="s">
        <v>213</v>
      </c>
      <c r="H201" s="41">
        <f>370+31-16</f>
        <v>385</v>
      </c>
      <c r="I201" s="41">
        <v>0</v>
      </c>
      <c r="J201" s="41">
        <v>400</v>
      </c>
    </row>
    <row r="202" spans="1:10" ht="38.25">
      <c r="A202" s="1"/>
      <c r="B202" s="25"/>
      <c r="C202" s="21" t="s">
        <v>95</v>
      </c>
      <c r="D202" s="21" t="s">
        <v>100</v>
      </c>
      <c r="E202" s="21" t="s">
        <v>641</v>
      </c>
      <c r="F202" s="82"/>
      <c r="G202" s="98" t="s">
        <v>640</v>
      </c>
      <c r="H202" s="41">
        <f>H203</f>
        <v>178</v>
      </c>
      <c r="I202" s="41">
        <f t="shared" ref="I202:J202" si="65">I203</f>
        <v>0</v>
      </c>
      <c r="J202" s="41">
        <f t="shared" si="65"/>
        <v>0</v>
      </c>
    </row>
    <row r="203" spans="1:10" ht="38.25">
      <c r="A203" s="1"/>
      <c r="B203" s="25"/>
      <c r="C203" s="21" t="s">
        <v>95</v>
      </c>
      <c r="D203" s="21" t="s">
        <v>100</v>
      </c>
      <c r="E203" s="21" t="s">
        <v>641</v>
      </c>
      <c r="F203" s="82" t="s">
        <v>212</v>
      </c>
      <c r="G203" s="98" t="s">
        <v>213</v>
      </c>
      <c r="H203" s="41">
        <v>178</v>
      </c>
      <c r="I203" s="41">
        <v>0</v>
      </c>
      <c r="J203" s="41">
        <v>0</v>
      </c>
    </row>
    <row r="204" spans="1:10" ht="25.5">
      <c r="A204" s="1"/>
      <c r="B204" s="25"/>
      <c r="C204" s="21" t="s">
        <v>95</v>
      </c>
      <c r="D204" s="21" t="s">
        <v>100</v>
      </c>
      <c r="E204" s="21" t="s">
        <v>643</v>
      </c>
      <c r="F204" s="82"/>
      <c r="G204" s="98" t="s">
        <v>644</v>
      </c>
      <c r="H204" s="41">
        <f>H205</f>
        <v>892.4</v>
      </c>
      <c r="I204" s="41">
        <f t="shared" ref="I204:J204" si="66">I205</f>
        <v>0</v>
      </c>
      <c r="J204" s="41">
        <f t="shared" si="66"/>
        <v>0</v>
      </c>
    </row>
    <row r="205" spans="1:10" ht="38.25">
      <c r="A205" s="1"/>
      <c r="B205" s="25"/>
      <c r="C205" s="21" t="s">
        <v>95</v>
      </c>
      <c r="D205" s="21" t="s">
        <v>100</v>
      </c>
      <c r="E205" s="21" t="s">
        <v>643</v>
      </c>
      <c r="F205" s="82" t="s">
        <v>212</v>
      </c>
      <c r="G205" s="98" t="s">
        <v>213</v>
      </c>
      <c r="H205" s="41">
        <f>990-45.4-52.2</f>
        <v>892.4</v>
      </c>
      <c r="I205" s="41">
        <v>0</v>
      </c>
      <c r="J205" s="41">
        <v>0</v>
      </c>
    </row>
    <row r="206" spans="1:10">
      <c r="A206" s="1"/>
      <c r="B206" s="25"/>
      <c r="C206" s="21" t="s">
        <v>95</v>
      </c>
      <c r="D206" s="21" t="s">
        <v>100</v>
      </c>
      <c r="E206" s="21" t="s">
        <v>697</v>
      </c>
      <c r="F206" s="82"/>
      <c r="G206" s="98" t="s">
        <v>642</v>
      </c>
      <c r="H206" s="41">
        <f>H207</f>
        <v>499</v>
      </c>
      <c r="I206" s="41">
        <f t="shared" ref="I206:J206" si="67">I207</f>
        <v>0</v>
      </c>
      <c r="J206" s="41">
        <f t="shared" si="67"/>
        <v>0</v>
      </c>
    </row>
    <row r="207" spans="1:10" ht="38.25">
      <c r="A207" s="1"/>
      <c r="B207" s="25"/>
      <c r="C207" s="21" t="s">
        <v>95</v>
      </c>
      <c r="D207" s="21" t="s">
        <v>100</v>
      </c>
      <c r="E207" s="21" t="s">
        <v>697</v>
      </c>
      <c r="F207" s="82" t="s">
        <v>212</v>
      </c>
      <c r="G207" s="98" t="s">
        <v>213</v>
      </c>
      <c r="H207" s="41">
        <f>600-98.6-2.4</f>
        <v>499</v>
      </c>
      <c r="I207" s="41">
        <v>0</v>
      </c>
      <c r="J207" s="41">
        <v>0</v>
      </c>
    </row>
    <row r="208" spans="1:10" ht="63.75">
      <c r="A208" s="1"/>
      <c r="B208" s="25"/>
      <c r="C208" s="21" t="s">
        <v>95</v>
      </c>
      <c r="D208" s="21" t="s">
        <v>100</v>
      </c>
      <c r="E208" s="51" t="s">
        <v>561</v>
      </c>
      <c r="F208" s="82"/>
      <c r="G208" s="98" t="s">
        <v>562</v>
      </c>
      <c r="H208" s="41">
        <f>H209+H211</f>
        <v>3072.1</v>
      </c>
      <c r="I208" s="41">
        <f t="shared" ref="I208:J208" si="68">I209+I211</f>
        <v>4637.8</v>
      </c>
      <c r="J208" s="41">
        <f t="shared" si="68"/>
        <v>4823.3</v>
      </c>
    </row>
    <row r="209" spans="1:10" ht="42" customHeight="1">
      <c r="A209" s="1"/>
      <c r="B209" s="25"/>
      <c r="C209" s="21" t="s">
        <v>95</v>
      </c>
      <c r="D209" s="21" t="s">
        <v>100</v>
      </c>
      <c r="E209" s="51" t="s">
        <v>360</v>
      </c>
      <c r="F209" s="82"/>
      <c r="G209" s="98" t="s">
        <v>357</v>
      </c>
      <c r="H209" s="41">
        <f>H210</f>
        <v>307.2</v>
      </c>
      <c r="I209" s="41">
        <f>I210</f>
        <v>927.6</v>
      </c>
      <c r="J209" s="41">
        <f>J210</f>
        <v>964.7</v>
      </c>
    </row>
    <row r="210" spans="1:10" ht="38.25">
      <c r="A210" s="1"/>
      <c r="B210" s="25"/>
      <c r="C210" s="21" t="s">
        <v>95</v>
      </c>
      <c r="D210" s="21" t="s">
        <v>100</v>
      </c>
      <c r="E210" s="51" t="s">
        <v>360</v>
      </c>
      <c r="F210" s="82" t="s">
        <v>212</v>
      </c>
      <c r="G210" s="98" t="s">
        <v>213</v>
      </c>
      <c r="H210" s="39">
        <f>891.9-495.5-89.2</f>
        <v>307.2</v>
      </c>
      <c r="I210" s="39">
        <v>927.6</v>
      </c>
      <c r="J210" s="39">
        <v>964.7</v>
      </c>
    </row>
    <row r="211" spans="1:10" ht="54.75" customHeight="1">
      <c r="A211" s="1"/>
      <c r="B211" s="25"/>
      <c r="C211" s="21" t="s">
        <v>95</v>
      </c>
      <c r="D211" s="21" t="s">
        <v>100</v>
      </c>
      <c r="E211" s="51" t="s">
        <v>361</v>
      </c>
      <c r="F211" s="82"/>
      <c r="G211" s="98" t="s">
        <v>355</v>
      </c>
      <c r="H211" s="41">
        <f>H212</f>
        <v>2764.9</v>
      </c>
      <c r="I211" s="41">
        <f>I212</f>
        <v>3710.2</v>
      </c>
      <c r="J211" s="41">
        <f>J212</f>
        <v>3858.6</v>
      </c>
    </row>
    <row r="212" spans="1:10" ht="38.25">
      <c r="A212" s="1"/>
      <c r="B212" s="25"/>
      <c r="C212" s="21" t="s">
        <v>95</v>
      </c>
      <c r="D212" s="21" t="s">
        <v>100</v>
      </c>
      <c r="E212" s="51" t="s">
        <v>361</v>
      </c>
      <c r="F212" s="82" t="s">
        <v>212</v>
      </c>
      <c r="G212" s="98" t="s">
        <v>213</v>
      </c>
      <c r="H212" s="41">
        <f>3567.5-802.6</f>
        <v>2764.9</v>
      </c>
      <c r="I212" s="41">
        <v>3710.2</v>
      </c>
      <c r="J212" s="41">
        <v>3858.6</v>
      </c>
    </row>
    <row r="213" spans="1:10" ht="25.5">
      <c r="A213" s="1"/>
      <c r="B213" s="25"/>
      <c r="C213" s="30" t="s">
        <v>95</v>
      </c>
      <c r="D213" s="30" t="s">
        <v>123</v>
      </c>
      <c r="E213" s="30"/>
      <c r="F213" s="30"/>
      <c r="G213" s="46" t="s">
        <v>4</v>
      </c>
      <c r="H213" s="40">
        <f>H214+H225+H245</f>
        <v>3165.7000000000003</v>
      </c>
      <c r="I213" s="40">
        <f>I214+I225+I245</f>
        <v>1953.5</v>
      </c>
      <c r="J213" s="40">
        <f>J214+J225+J245</f>
        <v>1946.2</v>
      </c>
    </row>
    <row r="214" spans="1:10" ht="89.25">
      <c r="A214" s="1"/>
      <c r="B214" s="25"/>
      <c r="C214" s="16" t="s">
        <v>95</v>
      </c>
      <c r="D214" s="16" t="s">
        <v>123</v>
      </c>
      <c r="E214" s="73" t="s">
        <v>70</v>
      </c>
      <c r="F214" s="16"/>
      <c r="G214" s="143" t="s">
        <v>615</v>
      </c>
      <c r="H214" s="96">
        <f t="shared" ref="H214:J214" si="69">H215</f>
        <v>421.70000000000005</v>
      </c>
      <c r="I214" s="96">
        <f t="shared" si="69"/>
        <v>183.5</v>
      </c>
      <c r="J214" s="96">
        <f t="shared" si="69"/>
        <v>176.2</v>
      </c>
    </row>
    <row r="215" spans="1:10" ht="38.25">
      <c r="A215" s="1"/>
      <c r="B215" s="25"/>
      <c r="C215" s="16" t="s">
        <v>95</v>
      </c>
      <c r="D215" s="16" t="s">
        <v>123</v>
      </c>
      <c r="E215" s="52" t="s">
        <v>164</v>
      </c>
      <c r="F215" s="16"/>
      <c r="G215" s="48" t="s">
        <v>163</v>
      </c>
      <c r="H215" s="93">
        <f>H216+H220</f>
        <v>421.70000000000005</v>
      </c>
      <c r="I215" s="93">
        <f t="shared" ref="I215:J215" si="70">I216+I220</f>
        <v>183.5</v>
      </c>
      <c r="J215" s="93">
        <f t="shared" si="70"/>
        <v>176.2</v>
      </c>
    </row>
    <row r="216" spans="1:10" ht="76.5">
      <c r="A216" s="1"/>
      <c r="B216" s="25"/>
      <c r="C216" s="16" t="s">
        <v>95</v>
      </c>
      <c r="D216" s="16" t="s">
        <v>123</v>
      </c>
      <c r="E216" s="21" t="s">
        <v>249</v>
      </c>
      <c r="F216" s="16"/>
      <c r="G216" s="99" t="s">
        <v>313</v>
      </c>
      <c r="H216" s="41">
        <f t="shared" ref="H216:J216" si="71">H217</f>
        <v>180.5</v>
      </c>
      <c r="I216" s="41">
        <f t="shared" si="71"/>
        <v>147.5</v>
      </c>
      <c r="J216" s="41">
        <f t="shared" si="71"/>
        <v>140.19999999999999</v>
      </c>
    </row>
    <row r="217" spans="1:10" ht="51">
      <c r="A217" s="1"/>
      <c r="B217" s="25"/>
      <c r="C217" s="16" t="s">
        <v>95</v>
      </c>
      <c r="D217" s="16" t="s">
        <v>123</v>
      </c>
      <c r="E217" s="21" t="s">
        <v>478</v>
      </c>
      <c r="F217" s="30"/>
      <c r="G217" s="97" t="s">
        <v>165</v>
      </c>
      <c r="H217" s="41">
        <f>SUM(H218:H219)</f>
        <v>180.5</v>
      </c>
      <c r="I217" s="41">
        <f t="shared" ref="I217:J217" si="72">SUM(I218:I219)</f>
        <v>147.5</v>
      </c>
      <c r="J217" s="41">
        <f t="shared" si="72"/>
        <v>140.19999999999999</v>
      </c>
    </row>
    <row r="218" spans="1:10" ht="38.25">
      <c r="A218" s="1"/>
      <c r="B218" s="25"/>
      <c r="C218" s="16" t="s">
        <v>95</v>
      </c>
      <c r="D218" s="16" t="s">
        <v>123</v>
      </c>
      <c r="E218" s="21" t="s">
        <v>478</v>
      </c>
      <c r="F218" s="82" t="s">
        <v>212</v>
      </c>
      <c r="G218" s="98" t="s">
        <v>213</v>
      </c>
      <c r="H218" s="39">
        <f>164+1.1</f>
        <v>165.1</v>
      </c>
      <c r="I218" s="39">
        <f>164-16.5</f>
        <v>147.5</v>
      </c>
      <c r="J218" s="39">
        <f>164-23.8</f>
        <v>140.19999999999999</v>
      </c>
    </row>
    <row r="219" spans="1:10">
      <c r="A219" s="1"/>
      <c r="B219" s="25"/>
      <c r="C219" s="16" t="s">
        <v>95</v>
      </c>
      <c r="D219" s="16" t="s">
        <v>123</v>
      </c>
      <c r="E219" s="21" t="s">
        <v>478</v>
      </c>
      <c r="F219" s="82" t="s">
        <v>716</v>
      </c>
      <c r="G219" s="98" t="s">
        <v>717</v>
      </c>
      <c r="H219" s="41">
        <v>15.4</v>
      </c>
      <c r="I219" s="39">
        <v>0</v>
      </c>
      <c r="J219" s="39">
        <v>0</v>
      </c>
    </row>
    <row r="220" spans="1:10" ht="25.5">
      <c r="A220" s="1"/>
      <c r="B220" s="25"/>
      <c r="C220" s="16" t="s">
        <v>95</v>
      </c>
      <c r="D220" s="16" t="s">
        <v>123</v>
      </c>
      <c r="E220" s="21" t="s">
        <v>347</v>
      </c>
      <c r="F220" s="82"/>
      <c r="G220" s="99" t="s">
        <v>343</v>
      </c>
      <c r="H220" s="41">
        <f>H221+H223</f>
        <v>241.20000000000002</v>
      </c>
      <c r="I220" s="41">
        <f t="shared" ref="I220:J220" si="73">I221+I223</f>
        <v>36</v>
      </c>
      <c r="J220" s="41">
        <f t="shared" si="73"/>
        <v>36</v>
      </c>
    </row>
    <row r="221" spans="1:10" ht="38.25">
      <c r="A221" s="1"/>
      <c r="B221" s="25"/>
      <c r="C221" s="16" t="s">
        <v>95</v>
      </c>
      <c r="D221" s="16" t="s">
        <v>123</v>
      </c>
      <c r="E221" s="82" t="s">
        <v>479</v>
      </c>
      <c r="F221" s="30"/>
      <c r="G221" s="97" t="s">
        <v>168</v>
      </c>
      <c r="H221" s="41">
        <f>H222</f>
        <v>27.9</v>
      </c>
      <c r="I221" s="41">
        <f t="shared" ref="I221:J221" si="74">I222</f>
        <v>36</v>
      </c>
      <c r="J221" s="41">
        <f t="shared" si="74"/>
        <v>36</v>
      </c>
    </row>
    <row r="222" spans="1:10" ht="38.25">
      <c r="A222" s="1"/>
      <c r="B222" s="25"/>
      <c r="C222" s="16" t="s">
        <v>95</v>
      </c>
      <c r="D222" s="16" t="s">
        <v>123</v>
      </c>
      <c r="E222" s="82" t="s">
        <v>479</v>
      </c>
      <c r="F222" s="82" t="s">
        <v>212</v>
      </c>
      <c r="G222" s="98" t="s">
        <v>213</v>
      </c>
      <c r="H222" s="41">
        <f>36-8.1</f>
        <v>27.9</v>
      </c>
      <c r="I222" s="41">
        <v>36</v>
      </c>
      <c r="J222" s="41">
        <v>36</v>
      </c>
    </row>
    <row r="223" spans="1:10" ht="63.75">
      <c r="A223" s="1"/>
      <c r="B223" s="25"/>
      <c r="C223" s="16" t="s">
        <v>95</v>
      </c>
      <c r="D223" s="16" t="s">
        <v>123</v>
      </c>
      <c r="E223" s="82" t="s">
        <v>655</v>
      </c>
      <c r="F223" s="82"/>
      <c r="G223" s="98" t="s">
        <v>659</v>
      </c>
      <c r="H223" s="41">
        <f>H224</f>
        <v>213.3</v>
      </c>
      <c r="I223" s="41">
        <f t="shared" ref="I223:J223" si="75">I224</f>
        <v>0</v>
      </c>
      <c r="J223" s="41">
        <f t="shared" si="75"/>
        <v>0</v>
      </c>
    </row>
    <row r="224" spans="1:10" ht="38.25">
      <c r="A224" s="1"/>
      <c r="B224" s="25"/>
      <c r="C224" s="16" t="s">
        <v>95</v>
      </c>
      <c r="D224" s="16" t="s">
        <v>123</v>
      </c>
      <c r="E224" s="82" t="s">
        <v>655</v>
      </c>
      <c r="F224" s="82" t="s">
        <v>212</v>
      </c>
      <c r="G224" s="98" t="s">
        <v>213</v>
      </c>
      <c r="H224" s="41">
        <f>250-43.7+7</f>
        <v>213.3</v>
      </c>
      <c r="I224" s="41">
        <v>0</v>
      </c>
      <c r="J224" s="41">
        <v>0</v>
      </c>
    </row>
    <row r="225" spans="1:10" ht="89.25">
      <c r="A225" s="1"/>
      <c r="B225" s="25"/>
      <c r="C225" s="5" t="s">
        <v>95</v>
      </c>
      <c r="D225" s="5" t="s">
        <v>123</v>
      </c>
      <c r="E225" s="76">
        <v>400000000</v>
      </c>
      <c r="F225" s="16"/>
      <c r="G225" s="142" t="s">
        <v>614</v>
      </c>
      <c r="H225" s="96">
        <f t="shared" ref="H225:J225" si="76">H226</f>
        <v>1387.6000000000001</v>
      </c>
      <c r="I225" s="96">
        <f t="shared" si="76"/>
        <v>1470</v>
      </c>
      <c r="J225" s="96">
        <f t="shared" si="76"/>
        <v>1470</v>
      </c>
    </row>
    <row r="226" spans="1:10" ht="52.5" customHeight="1">
      <c r="A226" s="1"/>
      <c r="B226" s="25"/>
      <c r="C226" s="47" t="s">
        <v>95</v>
      </c>
      <c r="D226" s="47" t="s">
        <v>123</v>
      </c>
      <c r="E226" s="75">
        <v>410000000</v>
      </c>
      <c r="F226" s="30"/>
      <c r="G226" s="46" t="s">
        <v>480</v>
      </c>
      <c r="H226" s="93">
        <f>H227+H234</f>
        <v>1387.6000000000001</v>
      </c>
      <c r="I226" s="93">
        <f>I227+I234</f>
        <v>1470</v>
      </c>
      <c r="J226" s="93">
        <f>J227+J234</f>
        <v>1470</v>
      </c>
    </row>
    <row r="227" spans="1:10" ht="51">
      <c r="A227" s="1"/>
      <c r="B227" s="25"/>
      <c r="C227" s="16" t="s">
        <v>95</v>
      </c>
      <c r="D227" s="16" t="s">
        <v>123</v>
      </c>
      <c r="E227" s="74">
        <v>410200000</v>
      </c>
      <c r="F227" s="30"/>
      <c r="G227" s="97" t="s">
        <v>485</v>
      </c>
      <c r="H227" s="39">
        <f>H228+H230+H232</f>
        <v>187.7</v>
      </c>
      <c r="I227" s="39">
        <f>I228+I230+I232</f>
        <v>70</v>
      </c>
      <c r="J227" s="39">
        <f>J228+J230+J232</f>
        <v>70</v>
      </c>
    </row>
    <row r="228" spans="1:10" ht="76.5">
      <c r="A228" s="1"/>
      <c r="B228" s="25"/>
      <c r="C228" s="16" t="s">
        <v>95</v>
      </c>
      <c r="D228" s="16" t="s">
        <v>123</v>
      </c>
      <c r="E228" s="136" t="s">
        <v>690</v>
      </c>
      <c r="F228" s="82"/>
      <c r="G228" s="98" t="s">
        <v>634</v>
      </c>
      <c r="H228" s="39">
        <f t="shared" ref="H228:J228" si="77">H229</f>
        <v>75.2</v>
      </c>
      <c r="I228" s="39">
        <f t="shared" si="77"/>
        <v>50</v>
      </c>
      <c r="J228" s="39">
        <f t="shared" si="77"/>
        <v>50</v>
      </c>
    </row>
    <row r="229" spans="1:10" ht="38.25">
      <c r="A229" s="1"/>
      <c r="B229" s="25"/>
      <c r="C229" s="16" t="s">
        <v>95</v>
      </c>
      <c r="D229" s="16" t="s">
        <v>123</v>
      </c>
      <c r="E229" s="136" t="s">
        <v>690</v>
      </c>
      <c r="F229" s="82" t="s">
        <v>212</v>
      </c>
      <c r="G229" s="98" t="s">
        <v>213</v>
      </c>
      <c r="H229" s="39">
        <f>50+5+20.2</f>
        <v>75.2</v>
      </c>
      <c r="I229" s="39">
        <v>50</v>
      </c>
      <c r="J229" s="39">
        <v>50</v>
      </c>
    </row>
    <row r="230" spans="1:10" ht="25.5">
      <c r="A230" s="1"/>
      <c r="B230" s="25"/>
      <c r="C230" s="16" t="s">
        <v>95</v>
      </c>
      <c r="D230" s="16" t="s">
        <v>123</v>
      </c>
      <c r="E230" s="136" t="s">
        <v>689</v>
      </c>
      <c r="F230" s="82"/>
      <c r="G230" s="98" t="s">
        <v>483</v>
      </c>
      <c r="H230" s="39">
        <f>H231</f>
        <v>30</v>
      </c>
      <c r="I230" s="39">
        <f>I231</f>
        <v>20</v>
      </c>
      <c r="J230" s="39">
        <f>J231</f>
        <v>20</v>
      </c>
    </row>
    <row r="231" spans="1:10" ht="38.25">
      <c r="A231" s="1"/>
      <c r="B231" s="25"/>
      <c r="C231" s="16" t="s">
        <v>95</v>
      </c>
      <c r="D231" s="16" t="s">
        <v>123</v>
      </c>
      <c r="E231" s="136" t="s">
        <v>689</v>
      </c>
      <c r="F231" s="82" t="s">
        <v>212</v>
      </c>
      <c r="G231" s="98" t="s">
        <v>213</v>
      </c>
      <c r="H231" s="39">
        <v>30</v>
      </c>
      <c r="I231" s="39">
        <v>20</v>
      </c>
      <c r="J231" s="39">
        <v>20</v>
      </c>
    </row>
    <row r="232" spans="1:10" ht="38.25">
      <c r="A232" s="1"/>
      <c r="B232" s="25"/>
      <c r="C232" s="16" t="s">
        <v>95</v>
      </c>
      <c r="D232" s="16" t="s">
        <v>123</v>
      </c>
      <c r="E232" s="136" t="s">
        <v>688</v>
      </c>
      <c r="F232" s="82"/>
      <c r="G232" s="98" t="s">
        <v>635</v>
      </c>
      <c r="H232" s="39">
        <f>H233</f>
        <v>82.5</v>
      </c>
      <c r="I232" s="39">
        <f t="shared" ref="I232:J232" si="78">I233</f>
        <v>0</v>
      </c>
      <c r="J232" s="39">
        <f t="shared" si="78"/>
        <v>0</v>
      </c>
    </row>
    <row r="233" spans="1:10" ht="38.25">
      <c r="A233" s="1"/>
      <c r="B233" s="25"/>
      <c r="C233" s="16" t="s">
        <v>95</v>
      </c>
      <c r="D233" s="16" t="s">
        <v>123</v>
      </c>
      <c r="E233" s="136" t="s">
        <v>688</v>
      </c>
      <c r="F233" s="82" t="s">
        <v>212</v>
      </c>
      <c r="G233" s="98" t="s">
        <v>213</v>
      </c>
      <c r="H233" s="39">
        <v>82.5</v>
      </c>
      <c r="I233" s="39">
        <v>0</v>
      </c>
      <c r="J233" s="39">
        <v>0</v>
      </c>
    </row>
    <row r="234" spans="1:10" ht="51">
      <c r="A234" s="1"/>
      <c r="B234" s="25"/>
      <c r="C234" s="16" t="s">
        <v>95</v>
      </c>
      <c r="D234" s="16" t="s">
        <v>123</v>
      </c>
      <c r="E234" s="136" t="s">
        <v>487</v>
      </c>
      <c r="F234" s="82"/>
      <c r="G234" s="97" t="s">
        <v>486</v>
      </c>
      <c r="H234" s="39">
        <f>H235+H237+H239+H241+H243</f>
        <v>1199.9000000000001</v>
      </c>
      <c r="I234" s="39">
        <f t="shared" ref="I234:J234" si="79">I235+I237+I239+I241</f>
        <v>1400</v>
      </c>
      <c r="J234" s="39">
        <f t="shared" si="79"/>
        <v>1400</v>
      </c>
    </row>
    <row r="235" spans="1:10" ht="63.75">
      <c r="A235" s="1"/>
      <c r="B235" s="25"/>
      <c r="C235" s="16" t="s">
        <v>95</v>
      </c>
      <c r="D235" s="16" t="s">
        <v>123</v>
      </c>
      <c r="E235" s="136" t="s">
        <v>691</v>
      </c>
      <c r="F235" s="82"/>
      <c r="G235" s="98" t="s">
        <v>636</v>
      </c>
      <c r="H235" s="39">
        <f>H236</f>
        <v>150</v>
      </c>
      <c r="I235" s="39">
        <f t="shared" ref="I235:J235" si="80">I236</f>
        <v>100</v>
      </c>
      <c r="J235" s="39">
        <f t="shared" si="80"/>
        <v>100</v>
      </c>
    </row>
    <row r="236" spans="1:10" ht="63.75">
      <c r="A236" s="1"/>
      <c r="B236" s="25"/>
      <c r="C236" s="16" t="s">
        <v>95</v>
      </c>
      <c r="D236" s="16" t="s">
        <v>123</v>
      </c>
      <c r="E236" s="136" t="s">
        <v>691</v>
      </c>
      <c r="F236" s="16" t="s">
        <v>12</v>
      </c>
      <c r="G236" s="98" t="s">
        <v>372</v>
      </c>
      <c r="H236" s="39">
        <v>150</v>
      </c>
      <c r="I236" s="39">
        <v>100</v>
      </c>
      <c r="J236" s="39">
        <v>100</v>
      </c>
    </row>
    <row r="237" spans="1:10" ht="63.75">
      <c r="A237" s="1"/>
      <c r="B237" s="25"/>
      <c r="C237" s="16" t="s">
        <v>95</v>
      </c>
      <c r="D237" s="16" t="s">
        <v>123</v>
      </c>
      <c r="E237" s="136" t="s">
        <v>692</v>
      </c>
      <c r="F237" s="82"/>
      <c r="G237" s="98" t="s">
        <v>488</v>
      </c>
      <c r="H237" s="39">
        <f>H238</f>
        <v>0</v>
      </c>
      <c r="I237" s="39">
        <f t="shared" ref="I237:J237" si="81">I238</f>
        <v>500</v>
      </c>
      <c r="J237" s="39">
        <f t="shared" si="81"/>
        <v>500</v>
      </c>
    </row>
    <row r="238" spans="1:10" ht="63.75">
      <c r="A238" s="1"/>
      <c r="B238" s="25"/>
      <c r="C238" s="16" t="s">
        <v>95</v>
      </c>
      <c r="D238" s="16" t="s">
        <v>123</v>
      </c>
      <c r="E238" s="136" t="s">
        <v>692</v>
      </c>
      <c r="F238" s="16" t="s">
        <v>12</v>
      </c>
      <c r="G238" s="98" t="s">
        <v>372</v>
      </c>
      <c r="H238" s="39">
        <f>1000-500-500</f>
        <v>0</v>
      </c>
      <c r="I238" s="39">
        <v>500</v>
      </c>
      <c r="J238" s="39">
        <v>500</v>
      </c>
    </row>
    <row r="239" spans="1:10" ht="104.25" customHeight="1">
      <c r="A239" s="1"/>
      <c r="B239" s="25"/>
      <c r="C239" s="16" t="s">
        <v>95</v>
      </c>
      <c r="D239" s="16" t="s">
        <v>123</v>
      </c>
      <c r="E239" s="136" t="s">
        <v>693</v>
      </c>
      <c r="F239" s="82"/>
      <c r="G239" s="98" t="s">
        <v>489</v>
      </c>
      <c r="H239" s="39">
        <f>H240</f>
        <v>80</v>
      </c>
      <c r="I239" s="39">
        <f t="shared" ref="I239:J239" si="82">I240</f>
        <v>100</v>
      </c>
      <c r="J239" s="39">
        <f t="shared" si="82"/>
        <v>100</v>
      </c>
    </row>
    <row r="240" spans="1:10" ht="63.75">
      <c r="A240" s="1"/>
      <c r="B240" s="25"/>
      <c r="C240" s="16" t="s">
        <v>95</v>
      </c>
      <c r="D240" s="16" t="s">
        <v>123</v>
      </c>
      <c r="E240" s="136" t="s">
        <v>693</v>
      </c>
      <c r="F240" s="16" t="s">
        <v>12</v>
      </c>
      <c r="G240" s="98" t="s">
        <v>372</v>
      </c>
      <c r="H240" s="39">
        <v>80</v>
      </c>
      <c r="I240" s="39">
        <v>100</v>
      </c>
      <c r="J240" s="39">
        <v>100</v>
      </c>
    </row>
    <row r="241" spans="1:10" ht="102">
      <c r="A241" s="1"/>
      <c r="B241" s="25"/>
      <c r="C241" s="16" t="s">
        <v>95</v>
      </c>
      <c r="D241" s="16" t="s">
        <v>123</v>
      </c>
      <c r="E241" s="136" t="s">
        <v>694</v>
      </c>
      <c r="F241" s="82"/>
      <c r="G241" s="98" t="s">
        <v>490</v>
      </c>
      <c r="H241" s="39">
        <f>H242</f>
        <v>700</v>
      </c>
      <c r="I241" s="39">
        <f t="shared" ref="I241:J241" si="83">I242</f>
        <v>700</v>
      </c>
      <c r="J241" s="39">
        <f t="shared" si="83"/>
        <v>700</v>
      </c>
    </row>
    <row r="242" spans="1:10" ht="63.75">
      <c r="A242" s="1"/>
      <c r="B242" s="25"/>
      <c r="C242" s="16" t="s">
        <v>95</v>
      </c>
      <c r="D242" s="16" t="s">
        <v>123</v>
      </c>
      <c r="E242" s="136" t="s">
        <v>694</v>
      </c>
      <c r="F242" s="16" t="s">
        <v>12</v>
      </c>
      <c r="G242" s="98" t="s">
        <v>372</v>
      </c>
      <c r="H242" s="39">
        <v>700</v>
      </c>
      <c r="I242" s="39">
        <v>700</v>
      </c>
      <c r="J242" s="39">
        <v>700</v>
      </c>
    </row>
    <row r="243" spans="1:10" ht="95.25" customHeight="1">
      <c r="A243" s="1"/>
      <c r="B243" s="25"/>
      <c r="C243" s="16" t="s">
        <v>95</v>
      </c>
      <c r="D243" s="16" t="s">
        <v>123</v>
      </c>
      <c r="E243" s="136" t="s">
        <v>695</v>
      </c>
      <c r="F243" s="16"/>
      <c r="G243" s="98" t="s">
        <v>637</v>
      </c>
      <c r="H243" s="39">
        <f>H244</f>
        <v>269.89999999999998</v>
      </c>
      <c r="I243" s="39">
        <f t="shared" ref="I243:J243" si="84">I244</f>
        <v>0</v>
      </c>
      <c r="J243" s="39">
        <f t="shared" si="84"/>
        <v>0</v>
      </c>
    </row>
    <row r="244" spans="1:10" ht="63.75">
      <c r="A244" s="1"/>
      <c r="B244" s="25"/>
      <c r="C244" s="16" t="s">
        <v>95</v>
      </c>
      <c r="D244" s="16" t="s">
        <v>123</v>
      </c>
      <c r="E244" s="136" t="s">
        <v>695</v>
      </c>
      <c r="F244" s="16" t="s">
        <v>12</v>
      </c>
      <c r="G244" s="98" t="s">
        <v>372</v>
      </c>
      <c r="H244" s="39">
        <f>356-86.1</f>
        <v>269.89999999999998</v>
      </c>
      <c r="I244" s="39">
        <v>0</v>
      </c>
      <c r="J244" s="39">
        <v>0</v>
      </c>
    </row>
    <row r="245" spans="1:10" ht="76.5">
      <c r="A245" s="1"/>
      <c r="B245" s="25"/>
      <c r="C245" s="5" t="s">
        <v>95</v>
      </c>
      <c r="D245" s="5" t="s">
        <v>123</v>
      </c>
      <c r="E245" s="73" t="s">
        <v>147</v>
      </c>
      <c r="F245" s="16"/>
      <c r="G245" s="63" t="s">
        <v>619</v>
      </c>
      <c r="H245" s="96">
        <f t="shared" ref="H245:J245" si="85">H246</f>
        <v>1356.4</v>
      </c>
      <c r="I245" s="96">
        <f t="shared" si="85"/>
        <v>300</v>
      </c>
      <c r="J245" s="96">
        <f t="shared" si="85"/>
        <v>300</v>
      </c>
    </row>
    <row r="246" spans="1:10" ht="63.75">
      <c r="A246" s="1"/>
      <c r="B246" s="25"/>
      <c r="C246" s="47" t="s">
        <v>95</v>
      </c>
      <c r="D246" s="47" t="s">
        <v>123</v>
      </c>
      <c r="E246" s="52" t="s">
        <v>148</v>
      </c>
      <c r="F246" s="16"/>
      <c r="G246" s="48" t="s">
        <v>524</v>
      </c>
      <c r="H246" s="93">
        <f>H247</f>
        <v>1356.4</v>
      </c>
      <c r="I246" s="93">
        <f>I247</f>
        <v>300</v>
      </c>
      <c r="J246" s="93">
        <f>J247</f>
        <v>300</v>
      </c>
    </row>
    <row r="247" spans="1:10" ht="89.25">
      <c r="A247" s="1"/>
      <c r="B247" s="25"/>
      <c r="C247" s="16" t="s">
        <v>95</v>
      </c>
      <c r="D247" s="16" t="s">
        <v>123</v>
      </c>
      <c r="E247" s="21" t="s">
        <v>211</v>
      </c>
      <c r="F247" s="16"/>
      <c r="G247" s="99" t="s">
        <v>525</v>
      </c>
      <c r="H247" s="39">
        <f>H248+H250+H252+H254</f>
        <v>1356.4</v>
      </c>
      <c r="I247" s="39">
        <f>I248+I250+I252+I254</f>
        <v>300</v>
      </c>
      <c r="J247" s="39">
        <f t="shared" ref="J247" si="86">J248+J250+J252+J254</f>
        <v>300</v>
      </c>
    </row>
    <row r="248" spans="1:10" ht="51">
      <c r="A248" s="1"/>
      <c r="B248" s="25"/>
      <c r="C248" s="16" t="s">
        <v>95</v>
      </c>
      <c r="D248" s="16" t="s">
        <v>123</v>
      </c>
      <c r="E248" s="138" t="s">
        <v>526</v>
      </c>
      <c r="F248" s="16"/>
      <c r="G248" s="99" t="s">
        <v>582</v>
      </c>
      <c r="H248" s="39">
        <f>H249</f>
        <v>0</v>
      </c>
      <c r="I248" s="39">
        <f>I249</f>
        <v>0</v>
      </c>
      <c r="J248" s="39">
        <f>J249</f>
        <v>300</v>
      </c>
    </row>
    <row r="249" spans="1:10" ht="38.25">
      <c r="A249" s="1"/>
      <c r="B249" s="25"/>
      <c r="C249" s="16" t="s">
        <v>95</v>
      </c>
      <c r="D249" s="16" t="s">
        <v>123</v>
      </c>
      <c r="E249" s="138" t="s">
        <v>526</v>
      </c>
      <c r="F249" s="82" t="s">
        <v>212</v>
      </c>
      <c r="G249" s="98" t="s">
        <v>213</v>
      </c>
      <c r="H249" s="39">
        <v>0</v>
      </c>
      <c r="I249" s="39">
        <v>0</v>
      </c>
      <c r="J249" s="39">
        <v>300</v>
      </c>
    </row>
    <row r="250" spans="1:10" ht="78" customHeight="1">
      <c r="A250" s="1"/>
      <c r="B250" s="25"/>
      <c r="C250" s="16" t="s">
        <v>95</v>
      </c>
      <c r="D250" s="16" t="s">
        <v>123</v>
      </c>
      <c r="E250" s="74">
        <v>810123102</v>
      </c>
      <c r="F250" s="16"/>
      <c r="G250" s="99" t="s">
        <v>527</v>
      </c>
      <c r="H250" s="39">
        <f>H251</f>
        <v>591</v>
      </c>
      <c r="I250" s="39">
        <f>I251</f>
        <v>100</v>
      </c>
      <c r="J250" s="39">
        <f>J251</f>
        <v>0</v>
      </c>
    </row>
    <row r="251" spans="1:10" ht="38.25">
      <c r="A251" s="1"/>
      <c r="B251" s="25"/>
      <c r="C251" s="16" t="s">
        <v>95</v>
      </c>
      <c r="D251" s="16" t="s">
        <v>123</v>
      </c>
      <c r="E251" s="74">
        <v>810123102</v>
      </c>
      <c r="F251" s="82" t="s">
        <v>212</v>
      </c>
      <c r="G251" s="98" t="s">
        <v>213</v>
      </c>
      <c r="H251" s="39">
        <v>591</v>
      </c>
      <c r="I251" s="39">
        <v>100</v>
      </c>
      <c r="J251" s="39">
        <v>0</v>
      </c>
    </row>
    <row r="252" spans="1:10" ht="76.5">
      <c r="A252" s="1"/>
      <c r="B252" s="25"/>
      <c r="C252" s="16" t="s">
        <v>95</v>
      </c>
      <c r="D252" s="16" t="s">
        <v>123</v>
      </c>
      <c r="E252" s="74">
        <v>810123103</v>
      </c>
      <c r="F252" s="82"/>
      <c r="G252" s="98" t="s">
        <v>528</v>
      </c>
      <c r="H252" s="39">
        <f t="shared" ref="H252:J252" si="87">H253</f>
        <v>435</v>
      </c>
      <c r="I252" s="39">
        <f t="shared" si="87"/>
        <v>100</v>
      </c>
      <c r="J252" s="39">
        <f t="shared" si="87"/>
        <v>0</v>
      </c>
    </row>
    <row r="253" spans="1:10" ht="38.25">
      <c r="A253" s="1"/>
      <c r="B253" s="25"/>
      <c r="C253" s="16" t="s">
        <v>95</v>
      </c>
      <c r="D253" s="16" t="s">
        <v>123</v>
      </c>
      <c r="E253" s="74">
        <v>810123103</v>
      </c>
      <c r="F253" s="82" t="s">
        <v>212</v>
      </c>
      <c r="G253" s="98" t="s">
        <v>213</v>
      </c>
      <c r="H253" s="39">
        <v>435</v>
      </c>
      <c r="I253" s="39">
        <v>100</v>
      </c>
      <c r="J253" s="39">
        <v>0</v>
      </c>
    </row>
    <row r="254" spans="1:10" ht="89.25">
      <c r="A254" s="1"/>
      <c r="B254" s="25"/>
      <c r="C254" s="16" t="s">
        <v>95</v>
      </c>
      <c r="D254" s="16" t="s">
        <v>123</v>
      </c>
      <c r="E254" s="74">
        <v>810123104</v>
      </c>
      <c r="F254" s="82"/>
      <c r="G254" s="98" t="s">
        <v>529</v>
      </c>
      <c r="H254" s="39">
        <f>H255</f>
        <v>330.4</v>
      </c>
      <c r="I254" s="39">
        <f t="shared" ref="I254" si="88">I255</f>
        <v>100</v>
      </c>
      <c r="J254" s="39">
        <f t="shared" ref="J254" si="89">J255</f>
        <v>0</v>
      </c>
    </row>
    <row r="255" spans="1:10" ht="38.25">
      <c r="A255" s="1"/>
      <c r="B255" s="25"/>
      <c r="C255" s="16" t="s">
        <v>95</v>
      </c>
      <c r="D255" s="16" t="s">
        <v>123</v>
      </c>
      <c r="E255" s="74">
        <v>810123104</v>
      </c>
      <c r="F255" s="82" t="s">
        <v>212</v>
      </c>
      <c r="G255" s="98" t="s">
        <v>213</v>
      </c>
      <c r="H255" s="39">
        <f>295.4+35</f>
        <v>330.4</v>
      </c>
      <c r="I255" s="39">
        <v>100</v>
      </c>
      <c r="J255" s="39">
        <v>0</v>
      </c>
    </row>
    <row r="256" spans="1:10" ht="30">
      <c r="A256" s="1"/>
      <c r="B256" s="25"/>
      <c r="C256" s="4" t="s">
        <v>96</v>
      </c>
      <c r="D256" s="3"/>
      <c r="E256" s="3"/>
      <c r="F256" s="3"/>
      <c r="G256" s="49" t="s">
        <v>48</v>
      </c>
      <c r="H256" s="92">
        <f>H257+H290+H337+H415</f>
        <v>91385.400000000009</v>
      </c>
      <c r="I256" s="92">
        <f>I257+I290+I337+I415</f>
        <v>52188</v>
      </c>
      <c r="J256" s="92">
        <f>J257+J290+J337+J415</f>
        <v>36047.200000000004</v>
      </c>
    </row>
    <row r="257" spans="1:10" ht="14.25">
      <c r="A257" s="1"/>
      <c r="B257" s="25"/>
      <c r="C257" s="30" t="s">
        <v>96</v>
      </c>
      <c r="D257" s="30" t="s">
        <v>89</v>
      </c>
      <c r="E257" s="30"/>
      <c r="F257" s="30"/>
      <c r="G257" s="27" t="s">
        <v>43</v>
      </c>
      <c r="H257" s="40">
        <f>H258</f>
        <v>9279.4</v>
      </c>
      <c r="I257" s="40">
        <f t="shared" ref="I257:J257" si="90">I258</f>
        <v>6043.9</v>
      </c>
      <c r="J257" s="40">
        <f t="shared" si="90"/>
        <v>6087.8</v>
      </c>
    </row>
    <row r="258" spans="1:10" ht="76.5">
      <c r="A258" s="1"/>
      <c r="B258" s="25"/>
      <c r="C258" s="5" t="s">
        <v>96</v>
      </c>
      <c r="D258" s="5" t="s">
        <v>89</v>
      </c>
      <c r="E258" s="73" t="s">
        <v>155</v>
      </c>
      <c r="F258" s="16"/>
      <c r="G258" s="142" t="s">
        <v>613</v>
      </c>
      <c r="H258" s="96">
        <f>H259+H267+H283</f>
        <v>9279.4</v>
      </c>
      <c r="I258" s="96">
        <f t="shared" ref="I258:J258" si="91">I259+I267+I283</f>
        <v>6043.9</v>
      </c>
      <c r="J258" s="96">
        <f t="shared" si="91"/>
        <v>6087.8</v>
      </c>
    </row>
    <row r="259" spans="1:10" ht="38.25">
      <c r="A259" s="1"/>
      <c r="B259" s="25"/>
      <c r="C259" s="47" t="s">
        <v>96</v>
      </c>
      <c r="D259" s="47" t="s">
        <v>89</v>
      </c>
      <c r="E259" s="52" t="s">
        <v>151</v>
      </c>
      <c r="F259" s="16"/>
      <c r="G259" s="48" t="s">
        <v>300</v>
      </c>
      <c r="H259" s="93">
        <f>H260+H264</f>
        <v>2195.5</v>
      </c>
      <c r="I259" s="93">
        <f t="shared" ref="I259:J259" si="92">I260+I264</f>
        <v>906.1</v>
      </c>
      <c r="J259" s="93">
        <f t="shared" si="92"/>
        <v>950</v>
      </c>
    </row>
    <row r="260" spans="1:10" ht="38.25">
      <c r="A260" s="1"/>
      <c r="B260" s="25"/>
      <c r="C260" s="82" t="s">
        <v>96</v>
      </c>
      <c r="D260" s="82" t="s">
        <v>89</v>
      </c>
      <c r="E260" s="21" t="s">
        <v>265</v>
      </c>
      <c r="F260" s="16"/>
      <c r="G260" s="99" t="s">
        <v>267</v>
      </c>
      <c r="H260" s="93">
        <f>H261</f>
        <v>1741.2</v>
      </c>
      <c r="I260" s="93">
        <f>I261</f>
        <v>150</v>
      </c>
      <c r="J260" s="93">
        <f>J261</f>
        <v>150</v>
      </c>
    </row>
    <row r="261" spans="1:10" ht="51">
      <c r="A261" s="1"/>
      <c r="B261" s="25"/>
      <c r="C261" s="16" t="s">
        <v>96</v>
      </c>
      <c r="D261" s="16" t="s">
        <v>89</v>
      </c>
      <c r="E261" s="137" t="s">
        <v>498</v>
      </c>
      <c r="F261" s="3"/>
      <c r="G261" s="98" t="s">
        <v>266</v>
      </c>
      <c r="H261" s="41">
        <f>SUM(H262:H263)</f>
        <v>1741.2</v>
      </c>
      <c r="I261" s="41">
        <f t="shared" ref="I261:J261" si="93">SUM(I262:I263)</f>
        <v>150</v>
      </c>
      <c r="J261" s="41">
        <f t="shared" si="93"/>
        <v>150</v>
      </c>
    </row>
    <row r="262" spans="1:10" ht="38.25">
      <c r="A262" s="1"/>
      <c r="B262" s="25"/>
      <c r="C262" s="16" t="s">
        <v>96</v>
      </c>
      <c r="D262" s="16" t="s">
        <v>89</v>
      </c>
      <c r="E262" s="137" t="s">
        <v>498</v>
      </c>
      <c r="F262" s="82" t="s">
        <v>212</v>
      </c>
      <c r="G262" s="98" t="s">
        <v>213</v>
      </c>
      <c r="H262" s="41">
        <f>100+853.3+72.8+2.5+693.5+7.2</f>
        <v>1729.3</v>
      </c>
      <c r="I262" s="41">
        <v>150</v>
      </c>
      <c r="J262" s="41">
        <v>150</v>
      </c>
    </row>
    <row r="263" spans="1:10">
      <c r="A263" s="1"/>
      <c r="B263" s="25"/>
      <c r="C263" s="16" t="s">
        <v>96</v>
      </c>
      <c r="D263" s="16" t="s">
        <v>89</v>
      </c>
      <c r="E263" s="137" t="s">
        <v>498</v>
      </c>
      <c r="F263" s="82" t="s">
        <v>716</v>
      </c>
      <c r="G263" s="98" t="s">
        <v>717</v>
      </c>
      <c r="H263" s="41">
        <f>7.6+4.3</f>
        <v>11.899999999999999</v>
      </c>
      <c r="I263" s="41">
        <v>0</v>
      </c>
      <c r="J263" s="41">
        <v>0</v>
      </c>
    </row>
    <row r="264" spans="1:10" ht="38.25">
      <c r="A264" s="1"/>
      <c r="B264" s="25"/>
      <c r="C264" s="16" t="s">
        <v>96</v>
      </c>
      <c r="D264" s="16" t="s">
        <v>89</v>
      </c>
      <c r="E264" s="21" t="s">
        <v>301</v>
      </c>
      <c r="F264" s="16"/>
      <c r="G264" s="99" t="s">
        <v>268</v>
      </c>
      <c r="H264" s="93">
        <f t="shared" ref="H264:J264" si="94">H265</f>
        <v>454.3</v>
      </c>
      <c r="I264" s="93">
        <f t="shared" si="94"/>
        <v>756.1</v>
      </c>
      <c r="J264" s="93">
        <f t="shared" si="94"/>
        <v>800</v>
      </c>
    </row>
    <row r="265" spans="1:10" ht="25.5">
      <c r="A265" s="1"/>
      <c r="B265" s="25"/>
      <c r="C265" s="16" t="s">
        <v>96</v>
      </c>
      <c r="D265" s="16" t="s">
        <v>89</v>
      </c>
      <c r="E265" s="21" t="s">
        <v>499</v>
      </c>
      <c r="F265" s="3"/>
      <c r="G265" s="98" t="s">
        <v>341</v>
      </c>
      <c r="H265" s="41">
        <f>H266</f>
        <v>454.3</v>
      </c>
      <c r="I265" s="41">
        <f>I266</f>
        <v>756.1</v>
      </c>
      <c r="J265" s="41">
        <f>J266</f>
        <v>800</v>
      </c>
    </row>
    <row r="266" spans="1:10" ht="38.25">
      <c r="A266" s="1"/>
      <c r="B266" s="25"/>
      <c r="C266" s="16" t="s">
        <v>96</v>
      </c>
      <c r="D266" s="16" t="s">
        <v>89</v>
      </c>
      <c r="E266" s="21" t="s">
        <v>499</v>
      </c>
      <c r="F266" s="82" t="s">
        <v>212</v>
      </c>
      <c r="G266" s="98" t="s">
        <v>213</v>
      </c>
      <c r="H266" s="39">
        <f>800-222.5-123.2</f>
        <v>454.3</v>
      </c>
      <c r="I266" s="39">
        <f>800-43.9</f>
        <v>756.1</v>
      </c>
      <c r="J266" s="39">
        <v>800</v>
      </c>
    </row>
    <row r="267" spans="1:10" ht="38.25">
      <c r="A267" s="1"/>
      <c r="B267" s="25"/>
      <c r="C267" s="47" t="s">
        <v>96</v>
      </c>
      <c r="D267" s="47" t="s">
        <v>89</v>
      </c>
      <c r="E267" s="52" t="s">
        <v>152</v>
      </c>
      <c r="F267" s="16"/>
      <c r="G267" s="48" t="s">
        <v>149</v>
      </c>
      <c r="H267" s="93">
        <f>H268+H275</f>
        <v>3549.5999999999995</v>
      </c>
      <c r="I267" s="93">
        <f t="shared" ref="I267:J267" si="95">I268+I275</f>
        <v>2223.6999999999998</v>
      </c>
      <c r="J267" s="93">
        <f t="shared" si="95"/>
        <v>1810</v>
      </c>
    </row>
    <row r="268" spans="1:10" ht="25.5">
      <c r="A268" s="1"/>
      <c r="B268" s="25"/>
      <c r="C268" s="16" t="s">
        <v>96</v>
      </c>
      <c r="D268" s="16" t="s">
        <v>89</v>
      </c>
      <c r="E268" s="21" t="s">
        <v>269</v>
      </c>
      <c r="F268" s="82"/>
      <c r="G268" s="99" t="s">
        <v>270</v>
      </c>
      <c r="H268" s="93">
        <f>H269+H271+H273</f>
        <v>215.7</v>
      </c>
      <c r="I268" s="93">
        <f t="shared" ref="I268:J268" si="96">I269+I271+I273</f>
        <v>260</v>
      </c>
      <c r="J268" s="93">
        <f t="shared" si="96"/>
        <v>290</v>
      </c>
    </row>
    <row r="269" spans="1:10" ht="132.75" customHeight="1">
      <c r="A269" s="1"/>
      <c r="B269" s="25"/>
      <c r="C269" s="16" t="s">
        <v>96</v>
      </c>
      <c r="D269" s="16" t="s">
        <v>89</v>
      </c>
      <c r="E269" s="79">
        <v>520123261</v>
      </c>
      <c r="F269" s="3"/>
      <c r="G269" s="98" t="s">
        <v>271</v>
      </c>
      <c r="H269" s="41">
        <f>H270</f>
        <v>0</v>
      </c>
      <c r="I269" s="41">
        <f>I270</f>
        <v>100</v>
      </c>
      <c r="J269" s="41">
        <f>J270</f>
        <v>100</v>
      </c>
    </row>
    <row r="270" spans="1:10" ht="38.25">
      <c r="A270" s="1"/>
      <c r="B270" s="25"/>
      <c r="C270" s="16" t="s">
        <v>96</v>
      </c>
      <c r="D270" s="16" t="s">
        <v>89</v>
      </c>
      <c r="E270" s="79">
        <v>520123261</v>
      </c>
      <c r="F270" s="82" t="s">
        <v>212</v>
      </c>
      <c r="G270" s="98" t="s">
        <v>213</v>
      </c>
      <c r="H270" s="41">
        <v>0</v>
      </c>
      <c r="I270" s="41">
        <v>100</v>
      </c>
      <c r="J270" s="41">
        <v>100</v>
      </c>
    </row>
    <row r="271" spans="1:10" ht="51">
      <c r="A271" s="1"/>
      <c r="B271" s="25"/>
      <c r="C271" s="16" t="s">
        <v>96</v>
      </c>
      <c r="D271" s="16" t="s">
        <v>89</v>
      </c>
      <c r="E271" s="79">
        <v>520123262</v>
      </c>
      <c r="F271" s="16"/>
      <c r="G271" s="98" t="s">
        <v>302</v>
      </c>
      <c r="H271" s="41">
        <f>H272</f>
        <v>15.7</v>
      </c>
      <c r="I271" s="41">
        <f>I272</f>
        <v>0</v>
      </c>
      <c r="J271" s="41">
        <f>J272</f>
        <v>20</v>
      </c>
    </row>
    <row r="272" spans="1:10" ht="38.25">
      <c r="A272" s="1"/>
      <c r="B272" s="25"/>
      <c r="C272" s="16" t="s">
        <v>96</v>
      </c>
      <c r="D272" s="16" t="s">
        <v>89</v>
      </c>
      <c r="E272" s="79">
        <v>520123262</v>
      </c>
      <c r="F272" s="82" t="s">
        <v>212</v>
      </c>
      <c r="G272" s="98" t="s">
        <v>213</v>
      </c>
      <c r="H272" s="41">
        <f>20-4.3</f>
        <v>15.7</v>
      </c>
      <c r="I272" s="41">
        <v>0</v>
      </c>
      <c r="J272" s="41">
        <v>20</v>
      </c>
    </row>
    <row r="273" spans="1:10" ht="25.5">
      <c r="A273" s="1"/>
      <c r="B273" s="25"/>
      <c r="C273" s="16" t="s">
        <v>96</v>
      </c>
      <c r="D273" s="16" t="s">
        <v>89</v>
      </c>
      <c r="E273" s="137" t="s">
        <v>500</v>
      </c>
      <c r="F273" s="82"/>
      <c r="G273" s="98" t="s">
        <v>501</v>
      </c>
      <c r="H273" s="41">
        <f>H274</f>
        <v>200</v>
      </c>
      <c r="I273" s="41">
        <f t="shared" ref="I273:J273" si="97">I274</f>
        <v>160</v>
      </c>
      <c r="J273" s="41">
        <f t="shared" si="97"/>
        <v>170</v>
      </c>
    </row>
    <row r="274" spans="1:10" ht="38.25">
      <c r="A274" s="1"/>
      <c r="B274" s="25"/>
      <c r="C274" s="16" t="s">
        <v>96</v>
      </c>
      <c r="D274" s="16" t="s">
        <v>89</v>
      </c>
      <c r="E274" s="137" t="s">
        <v>500</v>
      </c>
      <c r="F274" s="82" t="s">
        <v>212</v>
      </c>
      <c r="G274" s="98" t="s">
        <v>213</v>
      </c>
      <c r="H274" s="41">
        <v>200</v>
      </c>
      <c r="I274" s="41">
        <v>160</v>
      </c>
      <c r="J274" s="41">
        <v>170</v>
      </c>
    </row>
    <row r="275" spans="1:10" ht="25.5">
      <c r="A275" s="1"/>
      <c r="B275" s="25"/>
      <c r="C275" s="16" t="s">
        <v>96</v>
      </c>
      <c r="D275" s="16" t="s">
        <v>89</v>
      </c>
      <c r="E275" s="21" t="s">
        <v>272</v>
      </c>
      <c r="F275" s="82"/>
      <c r="G275" s="99" t="s">
        <v>502</v>
      </c>
      <c r="H275" s="41">
        <f>H276+H279+H281</f>
        <v>3333.8999999999996</v>
      </c>
      <c r="I275" s="41">
        <f t="shared" ref="I275:J275" si="98">I276+I279+I281</f>
        <v>1963.7</v>
      </c>
      <c r="J275" s="41">
        <f t="shared" si="98"/>
        <v>1520</v>
      </c>
    </row>
    <row r="276" spans="1:10" ht="51">
      <c r="A276" s="1"/>
      <c r="B276" s="25"/>
      <c r="C276" s="16" t="s">
        <v>96</v>
      </c>
      <c r="D276" s="16" t="s">
        <v>89</v>
      </c>
      <c r="E276" s="79">
        <v>520223264</v>
      </c>
      <c r="F276" s="82"/>
      <c r="G276" s="98" t="s">
        <v>503</v>
      </c>
      <c r="H276" s="41">
        <f>SUM(H277:H278)</f>
        <v>3333.8999999999996</v>
      </c>
      <c r="I276" s="41">
        <f t="shared" ref="I276:J276" si="99">I277+I278</f>
        <v>300</v>
      </c>
      <c r="J276" s="41">
        <f t="shared" si="99"/>
        <v>0</v>
      </c>
    </row>
    <row r="277" spans="1:10">
      <c r="A277" s="1"/>
      <c r="B277" s="25"/>
      <c r="C277" s="16" t="s">
        <v>96</v>
      </c>
      <c r="D277" s="16" t="s">
        <v>89</v>
      </c>
      <c r="E277" s="79">
        <v>520223264</v>
      </c>
      <c r="F277" s="82" t="s">
        <v>716</v>
      </c>
      <c r="G277" s="98" t="s">
        <v>717</v>
      </c>
      <c r="H277" s="41">
        <f>67.5+9.8+0.1+23.3</f>
        <v>100.69999999999999</v>
      </c>
      <c r="I277" s="41">
        <v>0</v>
      </c>
      <c r="J277" s="41">
        <v>0</v>
      </c>
    </row>
    <row r="278" spans="1:10" ht="25.5">
      <c r="A278" s="1"/>
      <c r="B278" s="25"/>
      <c r="C278" s="16" t="s">
        <v>96</v>
      </c>
      <c r="D278" s="16" t="s">
        <v>89</v>
      </c>
      <c r="E278" s="79">
        <v>520223264</v>
      </c>
      <c r="F278" s="82" t="s">
        <v>132</v>
      </c>
      <c r="G278" s="98" t="s">
        <v>133</v>
      </c>
      <c r="H278" s="41">
        <f>1648+325.2+337+946.3-23.3</f>
        <v>3233.2</v>
      </c>
      <c r="I278" s="41">
        <v>300</v>
      </c>
      <c r="J278" s="41">
        <v>0</v>
      </c>
    </row>
    <row r="279" spans="1:10" ht="63.75">
      <c r="A279" s="1"/>
      <c r="B279" s="25"/>
      <c r="C279" s="16" t="s">
        <v>96</v>
      </c>
      <c r="D279" s="16" t="s">
        <v>89</v>
      </c>
      <c r="E279" s="79">
        <v>520223265</v>
      </c>
      <c r="F279" s="82"/>
      <c r="G279" s="98" t="s">
        <v>504</v>
      </c>
      <c r="H279" s="41">
        <f>H280</f>
        <v>0</v>
      </c>
      <c r="I279" s="41">
        <f t="shared" ref="I279:J279" si="100">I280</f>
        <v>1463.7</v>
      </c>
      <c r="J279" s="41">
        <f t="shared" si="100"/>
        <v>1220</v>
      </c>
    </row>
    <row r="280" spans="1:10">
      <c r="A280" s="1"/>
      <c r="B280" s="25"/>
      <c r="C280" s="16" t="s">
        <v>96</v>
      </c>
      <c r="D280" s="16" t="s">
        <v>89</v>
      </c>
      <c r="E280" s="79">
        <v>520223265</v>
      </c>
      <c r="F280" s="82" t="s">
        <v>251</v>
      </c>
      <c r="G280" s="99" t="s">
        <v>274</v>
      </c>
      <c r="H280" s="41">
        <f>1296.4-307.6-988.8</f>
        <v>0</v>
      </c>
      <c r="I280" s="41">
        <v>1463.7</v>
      </c>
      <c r="J280" s="41">
        <v>1220</v>
      </c>
    </row>
    <row r="281" spans="1:10" ht="38.25">
      <c r="A281" s="1"/>
      <c r="B281" s="25"/>
      <c r="C281" s="16" t="s">
        <v>96</v>
      </c>
      <c r="D281" s="16" t="s">
        <v>89</v>
      </c>
      <c r="E281" s="21" t="s">
        <v>505</v>
      </c>
      <c r="F281" s="82"/>
      <c r="G281" s="99" t="s">
        <v>275</v>
      </c>
      <c r="H281" s="41">
        <f>H282</f>
        <v>0</v>
      </c>
      <c r="I281" s="41">
        <f>I282</f>
        <v>200</v>
      </c>
      <c r="J281" s="41">
        <f>J282</f>
        <v>300</v>
      </c>
    </row>
    <row r="282" spans="1:10" ht="38.25">
      <c r="A282" s="1"/>
      <c r="B282" s="25"/>
      <c r="C282" s="16" t="s">
        <v>96</v>
      </c>
      <c r="D282" s="16" t="s">
        <v>89</v>
      </c>
      <c r="E282" s="21" t="s">
        <v>505</v>
      </c>
      <c r="F282" s="82" t="s">
        <v>212</v>
      </c>
      <c r="G282" s="98" t="s">
        <v>213</v>
      </c>
      <c r="H282" s="41">
        <v>0</v>
      </c>
      <c r="I282" s="39">
        <v>200</v>
      </c>
      <c r="J282" s="39">
        <v>300</v>
      </c>
    </row>
    <row r="283" spans="1:10" ht="63.75">
      <c r="A283" s="1"/>
      <c r="B283" s="25"/>
      <c r="C283" s="16" t="s">
        <v>96</v>
      </c>
      <c r="D283" s="16" t="s">
        <v>89</v>
      </c>
      <c r="E283" s="52" t="s">
        <v>153</v>
      </c>
      <c r="F283" s="16"/>
      <c r="G283" s="48" t="s">
        <v>150</v>
      </c>
      <c r="H283" s="93">
        <f>H284+H287</f>
        <v>3534.3</v>
      </c>
      <c r="I283" s="93">
        <f>I284+I287</f>
        <v>2914.1</v>
      </c>
      <c r="J283" s="93">
        <f>J284+J287</f>
        <v>3327.8</v>
      </c>
    </row>
    <row r="284" spans="1:10" ht="76.5">
      <c r="A284" s="1"/>
      <c r="B284" s="25"/>
      <c r="C284" s="16" t="s">
        <v>96</v>
      </c>
      <c r="D284" s="16" t="s">
        <v>89</v>
      </c>
      <c r="E284" s="21" t="s">
        <v>276</v>
      </c>
      <c r="F284" s="82"/>
      <c r="G284" s="99" t="s">
        <v>314</v>
      </c>
      <c r="H284" s="39">
        <f t="shared" ref="H284:J285" si="101">H285</f>
        <v>1612.2000000000003</v>
      </c>
      <c r="I284" s="39">
        <f t="shared" si="101"/>
        <v>1487.8</v>
      </c>
      <c r="J284" s="39">
        <f t="shared" si="101"/>
        <v>1487.8</v>
      </c>
    </row>
    <row r="285" spans="1:10" ht="68.25" customHeight="1">
      <c r="A285" s="1"/>
      <c r="B285" s="25"/>
      <c r="C285" s="82" t="s">
        <v>96</v>
      </c>
      <c r="D285" s="82" t="s">
        <v>89</v>
      </c>
      <c r="E285" s="79">
        <v>530123271</v>
      </c>
      <c r="F285" s="16"/>
      <c r="G285" s="98" t="s">
        <v>154</v>
      </c>
      <c r="H285" s="41">
        <f t="shared" si="101"/>
        <v>1612.2000000000003</v>
      </c>
      <c r="I285" s="41">
        <f t="shared" si="101"/>
        <v>1487.8</v>
      </c>
      <c r="J285" s="41">
        <f t="shared" si="101"/>
        <v>1487.8</v>
      </c>
    </row>
    <row r="286" spans="1:10" ht="38.25">
      <c r="A286" s="1"/>
      <c r="B286" s="25"/>
      <c r="C286" s="16" t="s">
        <v>96</v>
      </c>
      <c r="D286" s="16" t="s">
        <v>89</v>
      </c>
      <c r="E286" s="79">
        <v>530123271</v>
      </c>
      <c r="F286" s="82" t="s">
        <v>212</v>
      </c>
      <c r="G286" s="98" t="s">
        <v>213</v>
      </c>
      <c r="H286" s="1">
        <f>1461.4-6.8+123.2+22.9+11.5</f>
        <v>1612.2000000000003</v>
      </c>
      <c r="I286" s="1">
        <v>1487.8</v>
      </c>
      <c r="J286" s="1">
        <v>1487.8</v>
      </c>
    </row>
    <row r="287" spans="1:10" ht="51">
      <c r="A287" s="1"/>
      <c r="B287" s="25"/>
      <c r="C287" s="16" t="s">
        <v>96</v>
      </c>
      <c r="D287" s="16" t="s">
        <v>89</v>
      </c>
      <c r="E287" s="21" t="s">
        <v>277</v>
      </c>
      <c r="F287" s="16"/>
      <c r="G287" s="99" t="s">
        <v>506</v>
      </c>
      <c r="H287" s="41">
        <f t="shared" ref="H287:J288" si="102">H288</f>
        <v>1922.1</v>
      </c>
      <c r="I287" s="41">
        <f t="shared" si="102"/>
        <v>1426.3</v>
      </c>
      <c r="J287" s="41">
        <f t="shared" si="102"/>
        <v>1840</v>
      </c>
    </row>
    <row r="288" spans="1:10" ht="51">
      <c r="A288" s="1"/>
      <c r="B288" s="25"/>
      <c r="C288" s="16" t="s">
        <v>96</v>
      </c>
      <c r="D288" s="16" t="s">
        <v>89</v>
      </c>
      <c r="E288" s="79">
        <v>530223272</v>
      </c>
      <c r="F288" s="16"/>
      <c r="G288" s="98" t="s">
        <v>507</v>
      </c>
      <c r="H288" s="41">
        <f t="shared" si="102"/>
        <v>1922.1</v>
      </c>
      <c r="I288" s="41">
        <f t="shared" si="102"/>
        <v>1426.3</v>
      </c>
      <c r="J288" s="41">
        <f t="shared" si="102"/>
        <v>1840</v>
      </c>
    </row>
    <row r="289" spans="1:10" ht="38.25">
      <c r="A289" s="1"/>
      <c r="B289" s="25"/>
      <c r="C289" s="16" t="s">
        <v>96</v>
      </c>
      <c r="D289" s="16" t="s">
        <v>89</v>
      </c>
      <c r="E289" s="79">
        <v>530223272</v>
      </c>
      <c r="F289" s="82" t="s">
        <v>212</v>
      </c>
      <c r="G289" s="98" t="s">
        <v>213</v>
      </c>
      <c r="H289" s="41">
        <v>1922.1</v>
      </c>
      <c r="I289" s="41">
        <v>1426.3</v>
      </c>
      <c r="J289" s="41">
        <v>1840</v>
      </c>
    </row>
    <row r="290" spans="1:10" ht="14.25">
      <c r="A290" s="1"/>
      <c r="B290" s="25"/>
      <c r="C290" s="30" t="s">
        <v>96</v>
      </c>
      <c r="D290" s="30" t="s">
        <v>90</v>
      </c>
      <c r="E290" s="30"/>
      <c r="F290" s="30"/>
      <c r="G290" s="27" t="s">
        <v>42</v>
      </c>
      <c r="H290" s="40">
        <f>H291+H306+H334</f>
        <v>28510</v>
      </c>
      <c r="I290" s="40">
        <f>I291+I306</f>
        <v>9613.7000000000007</v>
      </c>
      <c r="J290" s="40">
        <f>J291+J306</f>
        <v>10942.2</v>
      </c>
    </row>
    <row r="291" spans="1:10" ht="89.25">
      <c r="A291" s="1"/>
      <c r="B291" s="25"/>
      <c r="C291" s="5" t="s">
        <v>96</v>
      </c>
      <c r="D291" s="5" t="s">
        <v>90</v>
      </c>
      <c r="E291" s="76">
        <v>400000000</v>
      </c>
      <c r="F291" s="16"/>
      <c r="G291" s="142" t="s">
        <v>614</v>
      </c>
      <c r="H291" s="96">
        <f t="shared" ref="H291:J292" si="103">H292</f>
        <v>15674.5</v>
      </c>
      <c r="I291" s="96">
        <f t="shared" si="103"/>
        <v>4148.7</v>
      </c>
      <c r="J291" s="96">
        <f t="shared" si="103"/>
        <v>5477.2</v>
      </c>
    </row>
    <row r="292" spans="1:10" ht="79.5" customHeight="1">
      <c r="A292" s="1"/>
      <c r="B292" s="25"/>
      <c r="C292" s="16" t="s">
        <v>96</v>
      </c>
      <c r="D292" s="16" t="s">
        <v>90</v>
      </c>
      <c r="E292" s="75">
        <v>430000000</v>
      </c>
      <c r="F292" s="16"/>
      <c r="G292" s="46" t="s">
        <v>723</v>
      </c>
      <c r="H292" s="93">
        <f>H293</f>
        <v>15674.5</v>
      </c>
      <c r="I292" s="93">
        <f t="shared" si="103"/>
        <v>4148.7</v>
      </c>
      <c r="J292" s="93">
        <f t="shared" si="103"/>
        <v>5477.2</v>
      </c>
    </row>
    <row r="293" spans="1:10" ht="38.25">
      <c r="A293" s="1"/>
      <c r="B293" s="25"/>
      <c r="C293" s="16" t="s">
        <v>96</v>
      </c>
      <c r="D293" s="16" t="s">
        <v>90</v>
      </c>
      <c r="E293" s="74">
        <v>430200000</v>
      </c>
      <c r="F293" s="16"/>
      <c r="G293" s="97" t="s">
        <v>296</v>
      </c>
      <c r="H293" s="41">
        <f>H294+H296+H298+H300+H302+H304</f>
        <v>15674.5</v>
      </c>
      <c r="I293" s="41">
        <f t="shared" ref="I293:J293" si="104">I294+I296+I298+I300+I302+I304</f>
        <v>4148.7</v>
      </c>
      <c r="J293" s="41">
        <f t="shared" si="104"/>
        <v>5477.2</v>
      </c>
    </row>
    <row r="294" spans="1:10" ht="107.25" customHeight="1">
      <c r="A294" s="1"/>
      <c r="B294" s="25"/>
      <c r="C294" s="16" t="s">
        <v>96</v>
      </c>
      <c r="D294" s="16" t="s">
        <v>90</v>
      </c>
      <c r="E294" s="74">
        <v>430227340</v>
      </c>
      <c r="F294" s="16"/>
      <c r="G294" s="98" t="s">
        <v>651</v>
      </c>
      <c r="H294" s="39">
        <f>H295</f>
        <v>1540.3</v>
      </c>
      <c r="I294" s="39">
        <f t="shared" ref="I294:J294" si="105">I295</f>
        <v>1250</v>
      </c>
      <c r="J294" s="39">
        <f t="shared" si="105"/>
        <v>1720</v>
      </c>
    </row>
    <row r="295" spans="1:10" ht="63.75">
      <c r="A295" s="1"/>
      <c r="B295" s="25"/>
      <c r="C295" s="16" t="s">
        <v>96</v>
      </c>
      <c r="D295" s="16" t="s">
        <v>90</v>
      </c>
      <c r="E295" s="74">
        <v>430227340</v>
      </c>
      <c r="F295" s="16" t="s">
        <v>12</v>
      </c>
      <c r="G295" s="98" t="s">
        <v>324</v>
      </c>
      <c r="H295" s="39">
        <f>1720-80-99.7</f>
        <v>1540.3</v>
      </c>
      <c r="I295" s="39">
        <v>1250</v>
      </c>
      <c r="J295" s="39">
        <v>1720</v>
      </c>
    </row>
    <row r="296" spans="1:10" ht="116.25" customHeight="1">
      <c r="A296" s="1"/>
      <c r="B296" s="25"/>
      <c r="C296" s="16" t="s">
        <v>96</v>
      </c>
      <c r="D296" s="16" t="s">
        <v>90</v>
      </c>
      <c r="E296" s="74">
        <v>430227350</v>
      </c>
      <c r="F296" s="16"/>
      <c r="G296" s="98" t="s">
        <v>638</v>
      </c>
      <c r="H296" s="39">
        <f>H297</f>
        <v>22.9</v>
      </c>
      <c r="I296" s="39">
        <f t="shared" ref="I296:J296" si="106">I297</f>
        <v>0</v>
      </c>
      <c r="J296" s="39">
        <f t="shared" si="106"/>
        <v>21.7</v>
      </c>
    </row>
    <row r="297" spans="1:10" ht="63.75">
      <c r="A297" s="1"/>
      <c r="B297" s="25"/>
      <c r="C297" s="16" t="s">
        <v>96</v>
      </c>
      <c r="D297" s="16" t="s">
        <v>90</v>
      </c>
      <c r="E297" s="74">
        <v>430227350</v>
      </c>
      <c r="F297" s="16" t="s">
        <v>12</v>
      </c>
      <c r="G297" s="98" t="s">
        <v>324</v>
      </c>
      <c r="H297" s="39">
        <f>21.7+1.2</f>
        <v>22.9</v>
      </c>
      <c r="I297" s="39">
        <v>0</v>
      </c>
      <c r="J297" s="39">
        <v>21.7</v>
      </c>
    </row>
    <row r="298" spans="1:10" ht="127.5">
      <c r="A298" s="1"/>
      <c r="B298" s="25"/>
      <c r="C298" s="16" t="s">
        <v>96</v>
      </c>
      <c r="D298" s="16" t="s">
        <v>90</v>
      </c>
      <c r="E298" s="74">
        <v>430227360</v>
      </c>
      <c r="F298" s="16"/>
      <c r="G298" s="98" t="s">
        <v>639</v>
      </c>
      <c r="H298" s="39">
        <f>H299</f>
        <v>5953.4000000000005</v>
      </c>
      <c r="I298" s="39">
        <f t="shared" ref="I298:J298" si="107">I299</f>
        <v>0</v>
      </c>
      <c r="J298" s="39">
        <f t="shared" si="107"/>
        <v>1661.6</v>
      </c>
    </row>
    <row r="299" spans="1:10" ht="63.75">
      <c r="A299" s="1"/>
      <c r="B299" s="25"/>
      <c r="C299" s="16" t="s">
        <v>96</v>
      </c>
      <c r="D299" s="16" t="s">
        <v>90</v>
      </c>
      <c r="E299" s="74">
        <v>430227360</v>
      </c>
      <c r="F299" s="16" t="s">
        <v>12</v>
      </c>
      <c r="G299" s="98" t="s">
        <v>324</v>
      </c>
      <c r="H299" s="39">
        <f>5227.7+586.1+300-160.4</f>
        <v>5953.4000000000005</v>
      </c>
      <c r="I299" s="39">
        <v>0</v>
      </c>
      <c r="J299" s="39">
        <v>1661.6</v>
      </c>
    </row>
    <row r="300" spans="1:10" ht="171" customHeight="1">
      <c r="A300" s="1"/>
      <c r="B300" s="25"/>
      <c r="C300" s="16" t="s">
        <v>96</v>
      </c>
      <c r="D300" s="16" t="s">
        <v>90</v>
      </c>
      <c r="E300" s="74">
        <v>430227370</v>
      </c>
      <c r="F300" s="16"/>
      <c r="G300" s="98" t="s">
        <v>652</v>
      </c>
      <c r="H300" s="39">
        <f>H301</f>
        <v>642.09999999999991</v>
      </c>
      <c r="I300" s="39">
        <f t="shared" ref="I300:J300" si="108">I301</f>
        <v>0</v>
      </c>
      <c r="J300" s="39">
        <f t="shared" si="108"/>
        <v>1107.7</v>
      </c>
    </row>
    <row r="301" spans="1:10" ht="63.75">
      <c r="A301" s="1"/>
      <c r="B301" s="25"/>
      <c r="C301" s="16" t="s">
        <v>96</v>
      </c>
      <c r="D301" s="16" t="s">
        <v>90</v>
      </c>
      <c r="E301" s="74">
        <v>430227370</v>
      </c>
      <c r="F301" s="16" t="s">
        <v>12</v>
      </c>
      <c r="G301" s="98" t="s">
        <v>324</v>
      </c>
      <c r="H301" s="39">
        <f>1606.6-900-64.5</f>
        <v>642.09999999999991</v>
      </c>
      <c r="I301" s="39">
        <v>0</v>
      </c>
      <c r="J301" s="39">
        <v>1107.7</v>
      </c>
    </row>
    <row r="302" spans="1:10" ht="112.5" customHeight="1">
      <c r="A302" s="1"/>
      <c r="B302" s="25"/>
      <c r="C302" s="16" t="s">
        <v>96</v>
      </c>
      <c r="D302" s="16" t="s">
        <v>90</v>
      </c>
      <c r="E302" s="74">
        <v>430227390</v>
      </c>
      <c r="F302" s="16"/>
      <c r="G302" s="98" t="s">
        <v>720</v>
      </c>
      <c r="H302" s="39">
        <f>H303</f>
        <v>3115.8</v>
      </c>
      <c r="I302" s="39">
        <f t="shared" ref="I302:J302" si="109">I303</f>
        <v>2898.7</v>
      </c>
      <c r="J302" s="39">
        <f t="shared" si="109"/>
        <v>966.2</v>
      </c>
    </row>
    <row r="303" spans="1:10" ht="63.75">
      <c r="A303" s="1"/>
      <c r="B303" s="25"/>
      <c r="C303" s="16" t="s">
        <v>96</v>
      </c>
      <c r="D303" s="16" t="s">
        <v>90</v>
      </c>
      <c r="E303" s="74">
        <v>430227390</v>
      </c>
      <c r="F303" s="16" t="s">
        <v>12</v>
      </c>
      <c r="G303" s="98" t="s">
        <v>324</v>
      </c>
      <c r="H303" s="39">
        <v>3115.8</v>
      </c>
      <c r="I303" s="39">
        <v>2898.7</v>
      </c>
      <c r="J303" s="39">
        <v>966.2</v>
      </c>
    </row>
    <row r="304" spans="1:10" ht="127.5">
      <c r="A304" s="1"/>
      <c r="B304" s="25"/>
      <c r="C304" s="16" t="s">
        <v>96</v>
      </c>
      <c r="D304" s="16" t="s">
        <v>90</v>
      </c>
      <c r="E304" s="74">
        <v>430227400</v>
      </c>
      <c r="F304" s="16"/>
      <c r="G304" s="98" t="s">
        <v>759</v>
      </c>
      <c r="H304" s="39">
        <f>H305</f>
        <v>4400</v>
      </c>
      <c r="I304" s="39">
        <f t="shared" ref="I304:J304" si="110">I305</f>
        <v>0</v>
      </c>
      <c r="J304" s="39">
        <f t="shared" si="110"/>
        <v>0</v>
      </c>
    </row>
    <row r="305" spans="1:10" ht="63.75">
      <c r="A305" s="1"/>
      <c r="B305" s="25"/>
      <c r="C305" s="16" t="s">
        <v>96</v>
      </c>
      <c r="D305" s="16" t="s">
        <v>90</v>
      </c>
      <c r="E305" s="74">
        <v>430227400</v>
      </c>
      <c r="F305" s="16" t="s">
        <v>12</v>
      </c>
      <c r="G305" s="98" t="s">
        <v>324</v>
      </c>
      <c r="H305" s="39">
        <v>4400</v>
      </c>
      <c r="I305" s="39">
        <v>0</v>
      </c>
      <c r="J305" s="39">
        <v>0</v>
      </c>
    </row>
    <row r="306" spans="1:10" ht="102">
      <c r="A306" s="1"/>
      <c r="B306" s="25"/>
      <c r="C306" s="5" t="s">
        <v>96</v>
      </c>
      <c r="D306" s="5" t="s">
        <v>90</v>
      </c>
      <c r="E306" s="81" t="s">
        <v>33</v>
      </c>
      <c r="F306" s="16"/>
      <c r="G306" s="53" t="s">
        <v>616</v>
      </c>
      <c r="H306" s="96">
        <f>H307+H316+H325</f>
        <v>12785.5</v>
      </c>
      <c r="I306" s="96">
        <f t="shared" ref="I306:J306" si="111">I307+I316+I325</f>
        <v>5465</v>
      </c>
      <c r="J306" s="96">
        <f t="shared" si="111"/>
        <v>5465</v>
      </c>
    </row>
    <row r="307" spans="1:10" ht="38.25">
      <c r="A307" s="1"/>
      <c r="B307" s="25"/>
      <c r="C307" s="16" t="s">
        <v>96</v>
      </c>
      <c r="D307" s="16" t="s">
        <v>90</v>
      </c>
      <c r="E307" s="52" t="s">
        <v>34</v>
      </c>
      <c r="F307" s="16"/>
      <c r="G307" s="48" t="s">
        <v>584</v>
      </c>
      <c r="H307" s="93">
        <f>H308+H311</f>
        <v>499.7</v>
      </c>
      <c r="I307" s="93">
        <f>I308+I311</f>
        <v>565</v>
      </c>
      <c r="J307" s="93">
        <f>J308+J311</f>
        <v>565</v>
      </c>
    </row>
    <row r="308" spans="1:10" ht="38.25">
      <c r="A308" s="1"/>
      <c r="B308" s="25"/>
      <c r="C308" s="16" t="s">
        <v>96</v>
      </c>
      <c r="D308" s="16" t="s">
        <v>90</v>
      </c>
      <c r="E308" s="21" t="s">
        <v>236</v>
      </c>
      <c r="F308" s="16"/>
      <c r="G308" s="99" t="s">
        <v>235</v>
      </c>
      <c r="H308" s="93">
        <f t="shared" ref="H308:J309" si="112">H309</f>
        <v>485.7</v>
      </c>
      <c r="I308" s="93">
        <f t="shared" si="112"/>
        <v>445</v>
      </c>
      <c r="J308" s="93">
        <f t="shared" si="112"/>
        <v>445</v>
      </c>
    </row>
    <row r="309" spans="1:10" ht="25.5">
      <c r="A309" s="1"/>
      <c r="B309" s="25"/>
      <c r="C309" s="16" t="s">
        <v>96</v>
      </c>
      <c r="D309" s="16" t="s">
        <v>90</v>
      </c>
      <c r="E309" s="21" t="s">
        <v>511</v>
      </c>
      <c r="F309" s="3"/>
      <c r="G309" s="98" t="s">
        <v>189</v>
      </c>
      <c r="H309" s="41">
        <f t="shared" si="112"/>
        <v>485.7</v>
      </c>
      <c r="I309" s="41">
        <f t="shared" si="112"/>
        <v>445</v>
      </c>
      <c r="J309" s="41">
        <f t="shared" si="112"/>
        <v>445</v>
      </c>
    </row>
    <row r="310" spans="1:10" ht="38.25">
      <c r="A310" s="1"/>
      <c r="B310" s="25"/>
      <c r="C310" s="16" t="s">
        <v>96</v>
      </c>
      <c r="D310" s="16" t="s">
        <v>90</v>
      </c>
      <c r="E310" s="21" t="s">
        <v>511</v>
      </c>
      <c r="F310" s="82" t="s">
        <v>212</v>
      </c>
      <c r="G310" s="98" t="s">
        <v>213</v>
      </c>
      <c r="H310" s="41">
        <v>485.7</v>
      </c>
      <c r="I310" s="39">
        <v>445</v>
      </c>
      <c r="J310" s="39">
        <v>445</v>
      </c>
    </row>
    <row r="311" spans="1:10" ht="38.25">
      <c r="A311" s="1"/>
      <c r="B311" s="25"/>
      <c r="C311" s="16" t="s">
        <v>96</v>
      </c>
      <c r="D311" s="16" t="s">
        <v>90</v>
      </c>
      <c r="E311" s="21" t="s">
        <v>513</v>
      </c>
      <c r="F311" s="82"/>
      <c r="G311" s="99" t="s">
        <v>340</v>
      </c>
      <c r="H311" s="41">
        <f t="shared" ref="H311" si="113">H312</f>
        <v>14</v>
      </c>
      <c r="I311" s="41">
        <f t="shared" ref="I311:J311" si="114">I312+I314</f>
        <v>120</v>
      </c>
      <c r="J311" s="41">
        <f t="shared" si="114"/>
        <v>120</v>
      </c>
    </row>
    <row r="312" spans="1:10" ht="25.5">
      <c r="A312" s="1"/>
      <c r="B312" s="25"/>
      <c r="C312" s="16" t="s">
        <v>96</v>
      </c>
      <c r="D312" s="16" t="s">
        <v>90</v>
      </c>
      <c r="E312" s="21" t="s">
        <v>512</v>
      </c>
      <c r="F312" s="16"/>
      <c r="G312" s="98" t="s">
        <v>339</v>
      </c>
      <c r="H312" s="41">
        <f t="shared" ref="H312:J312" si="115">H313</f>
        <v>14</v>
      </c>
      <c r="I312" s="41">
        <f t="shared" si="115"/>
        <v>40</v>
      </c>
      <c r="J312" s="41">
        <f t="shared" si="115"/>
        <v>40</v>
      </c>
    </row>
    <row r="313" spans="1:10" ht="38.25">
      <c r="A313" s="1"/>
      <c r="B313" s="25"/>
      <c r="C313" s="16" t="s">
        <v>96</v>
      </c>
      <c r="D313" s="16" t="s">
        <v>90</v>
      </c>
      <c r="E313" s="21" t="s">
        <v>512</v>
      </c>
      <c r="F313" s="82" t="s">
        <v>212</v>
      </c>
      <c r="G313" s="98" t="s">
        <v>213</v>
      </c>
      <c r="H313" s="41">
        <f>8.3+1.7+4</f>
        <v>14</v>
      </c>
      <c r="I313" s="41">
        <v>40</v>
      </c>
      <c r="J313" s="41">
        <v>40</v>
      </c>
    </row>
    <row r="314" spans="1:10" ht="38.25">
      <c r="A314" s="1"/>
      <c r="B314" s="25"/>
      <c r="C314" s="16" t="s">
        <v>96</v>
      </c>
      <c r="D314" s="16" t="s">
        <v>90</v>
      </c>
      <c r="E314" s="21" t="s">
        <v>585</v>
      </c>
      <c r="F314" s="82"/>
      <c r="G314" s="98" t="s">
        <v>586</v>
      </c>
      <c r="H314" s="41">
        <f>H315</f>
        <v>0</v>
      </c>
      <c r="I314" s="41">
        <f t="shared" ref="I314:J314" si="116">I315</f>
        <v>80</v>
      </c>
      <c r="J314" s="41">
        <f t="shared" si="116"/>
        <v>80</v>
      </c>
    </row>
    <row r="315" spans="1:10" ht="38.25">
      <c r="A315" s="1"/>
      <c r="B315" s="25"/>
      <c r="C315" s="16" t="s">
        <v>96</v>
      </c>
      <c r="D315" s="16" t="s">
        <v>90</v>
      </c>
      <c r="E315" s="21" t="s">
        <v>585</v>
      </c>
      <c r="F315" s="82" t="s">
        <v>212</v>
      </c>
      <c r="G315" s="98" t="s">
        <v>213</v>
      </c>
      <c r="H315" s="41">
        <v>0</v>
      </c>
      <c r="I315" s="41">
        <v>80</v>
      </c>
      <c r="J315" s="41">
        <v>80</v>
      </c>
    </row>
    <row r="316" spans="1:10" ht="25.5">
      <c r="A316" s="1"/>
      <c r="B316" s="25"/>
      <c r="C316" s="47" t="s">
        <v>96</v>
      </c>
      <c r="D316" s="47" t="s">
        <v>90</v>
      </c>
      <c r="E316" s="52" t="s">
        <v>376</v>
      </c>
      <c r="F316" s="16"/>
      <c r="G316" s="46" t="s">
        <v>348</v>
      </c>
      <c r="H316" s="93">
        <f>H317+H322</f>
        <v>1026.8999999999996</v>
      </c>
      <c r="I316" s="93">
        <f t="shared" ref="I316:J316" si="117">I317+I322</f>
        <v>2900</v>
      </c>
      <c r="J316" s="93">
        <f t="shared" si="117"/>
        <v>2900</v>
      </c>
    </row>
    <row r="317" spans="1:10" ht="38.25">
      <c r="A317" s="1"/>
      <c r="B317" s="25"/>
      <c r="C317" s="16" t="s">
        <v>96</v>
      </c>
      <c r="D317" s="16" t="s">
        <v>90</v>
      </c>
      <c r="E317" s="21" t="s">
        <v>514</v>
      </c>
      <c r="F317" s="16"/>
      <c r="G317" s="99" t="s">
        <v>305</v>
      </c>
      <c r="H317" s="39">
        <f>H318+H320</f>
        <v>1026.8999999999996</v>
      </c>
      <c r="I317" s="39">
        <f t="shared" ref="I317:J317" si="118">I318+I320</f>
        <v>800</v>
      </c>
      <c r="J317" s="39">
        <f t="shared" si="118"/>
        <v>800</v>
      </c>
    </row>
    <row r="318" spans="1:10" ht="38.25">
      <c r="A318" s="1"/>
      <c r="B318" s="25"/>
      <c r="C318" s="16" t="s">
        <v>96</v>
      </c>
      <c r="D318" s="16" t="s">
        <v>90</v>
      </c>
      <c r="E318" s="21" t="s">
        <v>515</v>
      </c>
      <c r="F318" s="16"/>
      <c r="G318" s="97" t="s">
        <v>190</v>
      </c>
      <c r="H318" s="41">
        <f>H319</f>
        <v>178</v>
      </c>
      <c r="I318" s="41">
        <f>I319</f>
        <v>250</v>
      </c>
      <c r="J318" s="41">
        <f>J319</f>
        <v>250</v>
      </c>
    </row>
    <row r="319" spans="1:10" ht="38.25">
      <c r="A319" s="1"/>
      <c r="B319" s="25"/>
      <c r="C319" s="16" t="s">
        <v>96</v>
      </c>
      <c r="D319" s="16" t="s">
        <v>90</v>
      </c>
      <c r="E319" s="21" t="s">
        <v>515</v>
      </c>
      <c r="F319" s="82" t="s">
        <v>212</v>
      </c>
      <c r="G319" s="98" t="s">
        <v>213</v>
      </c>
      <c r="H319" s="41">
        <f>200-20.3-1.7</f>
        <v>178</v>
      </c>
      <c r="I319" s="41">
        <v>250</v>
      </c>
      <c r="J319" s="41">
        <v>250</v>
      </c>
    </row>
    <row r="320" spans="1:10" ht="25.5">
      <c r="A320" s="1"/>
      <c r="B320" s="25"/>
      <c r="C320" s="16" t="s">
        <v>96</v>
      </c>
      <c r="D320" s="16" t="s">
        <v>90</v>
      </c>
      <c r="E320" s="21" t="s">
        <v>517</v>
      </c>
      <c r="F320" s="82"/>
      <c r="G320" s="98" t="s">
        <v>516</v>
      </c>
      <c r="H320" s="41">
        <f>H321</f>
        <v>848.89999999999964</v>
      </c>
      <c r="I320" s="41">
        <f t="shared" ref="I320:J320" si="119">I321</f>
        <v>550</v>
      </c>
      <c r="J320" s="41">
        <f t="shared" si="119"/>
        <v>550</v>
      </c>
    </row>
    <row r="321" spans="1:10" ht="38.25">
      <c r="A321" s="1"/>
      <c r="B321" s="25"/>
      <c r="C321" s="16" t="s">
        <v>96</v>
      </c>
      <c r="D321" s="16" t="s">
        <v>90</v>
      </c>
      <c r="E321" s="21" t="s">
        <v>517</v>
      </c>
      <c r="F321" s="82" t="s">
        <v>212</v>
      </c>
      <c r="G321" s="98" t="s">
        <v>213</v>
      </c>
      <c r="H321" s="41">
        <f>500+146.9+280-78+5000-5000</f>
        <v>848.89999999999964</v>
      </c>
      <c r="I321" s="41">
        <v>550</v>
      </c>
      <c r="J321" s="41">
        <v>550</v>
      </c>
    </row>
    <row r="322" spans="1:10" ht="38.25">
      <c r="A322" s="1"/>
      <c r="B322" s="25"/>
      <c r="C322" s="16" t="s">
        <v>96</v>
      </c>
      <c r="D322" s="16" t="s">
        <v>90</v>
      </c>
      <c r="E322" s="21" t="s">
        <v>519</v>
      </c>
      <c r="F322" s="82"/>
      <c r="G322" s="99" t="s">
        <v>375</v>
      </c>
      <c r="H322" s="41">
        <f t="shared" ref="H322:J323" si="120">H323</f>
        <v>0</v>
      </c>
      <c r="I322" s="41">
        <f t="shared" si="120"/>
        <v>2100</v>
      </c>
      <c r="J322" s="41">
        <f t="shared" si="120"/>
        <v>2100</v>
      </c>
    </row>
    <row r="323" spans="1:10" ht="51">
      <c r="A323" s="1"/>
      <c r="B323" s="25"/>
      <c r="C323" s="16" t="s">
        <v>96</v>
      </c>
      <c r="D323" s="16" t="s">
        <v>90</v>
      </c>
      <c r="E323" s="21" t="s">
        <v>518</v>
      </c>
      <c r="F323" s="16"/>
      <c r="G323" s="98" t="s">
        <v>618</v>
      </c>
      <c r="H323" s="41">
        <f t="shared" si="120"/>
        <v>0</v>
      </c>
      <c r="I323" s="41">
        <f t="shared" si="120"/>
        <v>2100</v>
      </c>
      <c r="J323" s="41">
        <f t="shared" si="120"/>
        <v>2100</v>
      </c>
    </row>
    <row r="324" spans="1:10" ht="38.25">
      <c r="A324" s="1"/>
      <c r="B324" s="25"/>
      <c r="C324" s="16" t="s">
        <v>96</v>
      </c>
      <c r="D324" s="16" t="s">
        <v>90</v>
      </c>
      <c r="E324" s="21" t="s">
        <v>518</v>
      </c>
      <c r="F324" s="82" t="s">
        <v>212</v>
      </c>
      <c r="G324" s="98" t="s">
        <v>213</v>
      </c>
      <c r="H324" s="41">
        <f>2000+700-2700</f>
        <v>0</v>
      </c>
      <c r="I324" s="41">
        <v>2100</v>
      </c>
      <c r="J324" s="41">
        <v>2100</v>
      </c>
    </row>
    <row r="325" spans="1:10" ht="38.25">
      <c r="A325" s="1"/>
      <c r="B325" s="25"/>
      <c r="C325" s="16" t="s">
        <v>96</v>
      </c>
      <c r="D325" s="16" t="s">
        <v>90</v>
      </c>
      <c r="E325" s="52" t="s">
        <v>35</v>
      </c>
      <c r="F325" s="16"/>
      <c r="G325" s="46" t="s">
        <v>520</v>
      </c>
      <c r="H325" s="41">
        <f>H326+H331</f>
        <v>11258.9</v>
      </c>
      <c r="I325" s="41">
        <f t="shared" ref="I325:J325" si="121">I326+I331</f>
        <v>2000</v>
      </c>
      <c r="J325" s="41">
        <f t="shared" si="121"/>
        <v>2000</v>
      </c>
    </row>
    <row r="326" spans="1:10" ht="51">
      <c r="A326" s="1"/>
      <c r="B326" s="25"/>
      <c r="C326" s="16" t="s">
        <v>96</v>
      </c>
      <c r="D326" s="16" t="s">
        <v>90</v>
      </c>
      <c r="E326" s="21" t="s">
        <v>237</v>
      </c>
      <c r="F326" s="16"/>
      <c r="G326" s="99" t="s">
        <v>739</v>
      </c>
      <c r="H326" s="41">
        <f>H327+H329</f>
        <v>9812.9</v>
      </c>
      <c r="I326" s="41">
        <f t="shared" ref="I326:J327" si="122">I327</f>
        <v>1000</v>
      </c>
      <c r="J326" s="41">
        <f t="shared" si="122"/>
        <v>1000</v>
      </c>
    </row>
    <row r="327" spans="1:10" ht="38.25">
      <c r="A327" s="1"/>
      <c r="B327" s="25"/>
      <c r="C327" s="16" t="s">
        <v>96</v>
      </c>
      <c r="D327" s="16" t="s">
        <v>90</v>
      </c>
      <c r="E327" s="21" t="s">
        <v>522</v>
      </c>
      <c r="F327" s="16"/>
      <c r="G327" s="99" t="s">
        <v>521</v>
      </c>
      <c r="H327" s="41">
        <f>H328</f>
        <v>9721.9</v>
      </c>
      <c r="I327" s="41">
        <f t="shared" si="122"/>
        <v>1000</v>
      </c>
      <c r="J327" s="41">
        <f t="shared" si="122"/>
        <v>1000</v>
      </c>
    </row>
    <row r="328" spans="1:10" ht="38.25">
      <c r="A328" s="1"/>
      <c r="B328" s="25"/>
      <c r="C328" s="16" t="s">
        <v>96</v>
      </c>
      <c r="D328" s="16" t="s">
        <v>90</v>
      </c>
      <c r="E328" s="21" t="s">
        <v>522</v>
      </c>
      <c r="F328" s="82" t="s">
        <v>212</v>
      </c>
      <c r="G328" s="98" t="s">
        <v>213</v>
      </c>
      <c r="H328" s="41">
        <f>1700-700+700+3849.7+87.7+20.3+43.6+3961.7+63.5-4-0.6</f>
        <v>9721.9</v>
      </c>
      <c r="I328" s="41">
        <v>1000</v>
      </c>
      <c r="J328" s="41">
        <v>1000</v>
      </c>
    </row>
    <row r="329" spans="1:10" ht="51">
      <c r="A329" s="1"/>
      <c r="B329" s="25"/>
      <c r="C329" s="16" t="s">
        <v>96</v>
      </c>
      <c r="D329" s="16" t="s">
        <v>90</v>
      </c>
      <c r="E329" s="21" t="s">
        <v>726</v>
      </c>
      <c r="F329" s="82"/>
      <c r="G329" s="98" t="s">
        <v>725</v>
      </c>
      <c r="H329" s="41">
        <f>H330</f>
        <v>91</v>
      </c>
      <c r="I329" s="41">
        <f t="shared" ref="I329:J329" si="123">I330</f>
        <v>0</v>
      </c>
      <c r="J329" s="41">
        <f t="shared" si="123"/>
        <v>0</v>
      </c>
    </row>
    <row r="330" spans="1:10" ht="38.25">
      <c r="A330" s="1"/>
      <c r="B330" s="25"/>
      <c r="C330" s="16" t="s">
        <v>96</v>
      </c>
      <c r="D330" s="16" t="s">
        <v>90</v>
      </c>
      <c r="E330" s="21" t="s">
        <v>726</v>
      </c>
      <c r="F330" s="82" t="s">
        <v>212</v>
      </c>
      <c r="G330" s="98" t="s">
        <v>213</v>
      </c>
      <c r="H330" s="41">
        <v>91</v>
      </c>
      <c r="I330" s="41">
        <v>0</v>
      </c>
      <c r="J330" s="41">
        <v>0</v>
      </c>
    </row>
    <row r="331" spans="1:10" ht="25.5">
      <c r="A331" s="1"/>
      <c r="B331" s="25"/>
      <c r="C331" s="16" t="s">
        <v>96</v>
      </c>
      <c r="D331" s="16" t="s">
        <v>90</v>
      </c>
      <c r="E331" s="21" t="s">
        <v>374</v>
      </c>
      <c r="F331" s="82"/>
      <c r="G331" s="99" t="s">
        <v>617</v>
      </c>
      <c r="H331" s="41">
        <f>H332</f>
        <v>1446</v>
      </c>
      <c r="I331" s="41">
        <f t="shared" ref="I331:J332" si="124">I332</f>
        <v>1000</v>
      </c>
      <c r="J331" s="41">
        <f t="shared" si="124"/>
        <v>1000</v>
      </c>
    </row>
    <row r="332" spans="1:10" ht="25.5">
      <c r="A332" s="1"/>
      <c r="B332" s="25"/>
      <c r="C332" s="16" t="s">
        <v>96</v>
      </c>
      <c r="D332" s="16" t="s">
        <v>90</v>
      </c>
      <c r="E332" s="21" t="s">
        <v>523</v>
      </c>
      <c r="F332" s="16"/>
      <c r="G332" s="99" t="s">
        <v>378</v>
      </c>
      <c r="H332" s="41">
        <f>H333</f>
        <v>1446</v>
      </c>
      <c r="I332" s="41">
        <f t="shared" si="124"/>
        <v>1000</v>
      </c>
      <c r="J332" s="41">
        <f t="shared" si="124"/>
        <v>1000</v>
      </c>
    </row>
    <row r="333" spans="1:10">
      <c r="A333" s="1"/>
      <c r="B333" s="25"/>
      <c r="C333" s="16" t="s">
        <v>96</v>
      </c>
      <c r="D333" s="16" t="s">
        <v>90</v>
      </c>
      <c r="E333" s="21" t="s">
        <v>523</v>
      </c>
      <c r="F333" s="82" t="s">
        <v>251</v>
      </c>
      <c r="G333" s="99" t="s">
        <v>274</v>
      </c>
      <c r="H333" s="41">
        <f>1515.6-69.6</f>
        <v>1446</v>
      </c>
      <c r="I333" s="41">
        <v>1000</v>
      </c>
      <c r="J333" s="41">
        <v>1000</v>
      </c>
    </row>
    <row r="334" spans="1:10" ht="38.25">
      <c r="A334" s="1"/>
      <c r="B334" s="25"/>
      <c r="C334" s="16" t="s">
        <v>96</v>
      </c>
      <c r="D334" s="16" t="s">
        <v>90</v>
      </c>
      <c r="E334" s="82" t="s">
        <v>25</v>
      </c>
      <c r="F334" s="82"/>
      <c r="G334" s="99" t="s">
        <v>39</v>
      </c>
      <c r="H334" s="41">
        <f>H335</f>
        <v>50</v>
      </c>
      <c r="I334" s="41">
        <f t="shared" ref="I334:J334" si="125">I335</f>
        <v>0</v>
      </c>
      <c r="J334" s="41">
        <f t="shared" si="125"/>
        <v>0</v>
      </c>
    </row>
    <row r="335" spans="1:10" ht="51">
      <c r="A335" s="1"/>
      <c r="B335" s="25"/>
      <c r="C335" s="16" t="s">
        <v>96</v>
      </c>
      <c r="D335" s="16" t="s">
        <v>90</v>
      </c>
      <c r="E335" s="82" t="s">
        <v>606</v>
      </c>
      <c r="F335" s="16"/>
      <c r="G335" s="54" t="s">
        <v>605</v>
      </c>
      <c r="H335" s="41">
        <f>SUM(H336:H336)</f>
        <v>50</v>
      </c>
      <c r="I335" s="41">
        <f>SUM(I336:I336)</f>
        <v>0</v>
      </c>
      <c r="J335" s="41">
        <f>SUM(J336:J336)</f>
        <v>0</v>
      </c>
    </row>
    <row r="336" spans="1:10" ht="38.25">
      <c r="A336" s="1"/>
      <c r="B336" s="25"/>
      <c r="C336" s="16" t="s">
        <v>96</v>
      </c>
      <c r="D336" s="16" t="s">
        <v>90</v>
      </c>
      <c r="E336" s="82" t="s">
        <v>606</v>
      </c>
      <c r="F336" s="82" t="s">
        <v>212</v>
      </c>
      <c r="G336" s="98" t="s">
        <v>213</v>
      </c>
      <c r="H336" s="39">
        <v>50</v>
      </c>
      <c r="I336" s="39">
        <v>0</v>
      </c>
      <c r="J336" s="39">
        <v>0</v>
      </c>
    </row>
    <row r="337" spans="1:10" ht="14.25">
      <c r="A337" s="1"/>
      <c r="B337" s="25"/>
      <c r="C337" s="30" t="s">
        <v>96</v>
      </c>
      <c r="D337" s="30" t="s">
        <v>94</v>
      </c>
      <c r="E337" s="30"/>
      <c r="F337" s="30"/>
      <c r="G337" s="27" t="s">
        <v>49</v>
      </c>
      <c r="H337" s="40">
        <f>H338+H345+H390+H400</f>
        <v>52031.9</v>
      </c>
      <c r="I337" s="40">
        <f t="shared" ref="I337:J337" si="126">I338+I345+I390+I400</f>
        <v>35349.5</v>
      </c>
      <c r="J337" s="40">
        <f t="shared" si="126"/>
        <v>17836.3</v>
      </c>
    </row>
    <row r="338" spans="1:10" ht="89.25">
      <c r="A338" s="1"/>
      <c r="B338" s="25"/>
      <c r="C338" s="82" t="s">
        <v>96</v>
      </c>
      <c r="D338" s="82" t="s">
        <v>94</v>
      </c>
      <c r="E338" s="78" t="s">
        <v>66</v>
      </c>
      <c r="F338" s="16"/>
      <c r="G338" s="63" t="s">
        <v>612</v>
      </c>
      <c r="H338" s="96">
        <f t="shared" ref="H338:J339" si="127">H339</f>
        <v>524.5</v>
      </c>
      <c r="I338" s="96">
        <f t="shared" si="127"/>
        <v>529.29999999999995</v>
      </c>
      <c r="J338" s="96">
        <f t="shared" si="127"/>
        <v>529.29999999999995</v>
      </c>
    </row>
    <row r="339" spans="1:10" ht="51">
      <c r="A339" s="1"/>
      <c r="B339" s="25"/>
      <c r="C339" s="47" t="s">
        <v>96</v>
      </c>
      <c r="D339" s="47" t="s">
        <v>94</v>
      </c>
      <c r="E339" s="77" t="s">
        <v>67</v>
      </c>
      <c r="F339" s="16"/>
      <c r="G339" s="60" t="s">
        <v>510</v>
      </c>
      <c r="H339" s="93">
        <f t="shared" si="127"/>
        <v>524.5</v>
      </c>
      <c r="I339" s="93">
        <f t="shared" si="127"/>
        <v>529.29999999999995</v>
      </c>
      <c r="J339" s="93">
        <f t="shared" si="127"/>
        <v>529.29999999999995</v>
      </c>
    </row>
    <row r="340" spans="1:10" ht="63.75">
      <c r="A340" s="1"/>
      <c r="B340" s="25"/>
      <c r="C340" s="82" t="s">
        <v>96</v>
      </c>
      <c r="D340" s="82" t="s">
        <v>94</v>
      </c>
      <c r="E340" s="74">
        <v>610100000</v>
      </c>
      <c r="F340" s="16"/>
      <c r="G340" s="98" t="s">
        <v>509</v>
      </c>
      <c r="H340" s="39">
        <f>H341+H343</f>
        <v>524.5</v>
      </c>
      <c r="I340" s="39">
        <f t="shared" ref="I340:J340" si="128">I341+I343</f>
        <v>529.29999999999995</v>
      </c>
      <c r="J340" s="39">
        <f t="shared" si="128"/>
        <v>529.29999999999995</v>
      </c>
    </row>
    <row r="341" spans="1:10" ht="38.25">
      <c r="A341" s="1"/>
      <c r="B341" s="25"/>
      <c r="C341" s="82" t="s">
        <v>96</v>
      </c>
      <c r="D341" s="82" t="s">
        <v>94</v>
      </c>
      <c r="E341" s="138" t="s">
        <v>508</v>
      </c>
      <c r="F341" s="16"/>
      <c r="G341" s="98" t="s">
        <v>645</v>
      </c>
      <c r="H341" s="41">
        <f t="shared" ref="H341:J341" si="129">H342</f>
        <v>515.5</v>
      </c>
      <c r="I341" s="41">
        <f t="shared" si="129"/>
        <v>520.29999999999995</v>
      </c>
      <c r="J341" s="41">
        <f t="shared" si="129"/>
        <v>520.29999999999995</v>
      </c>
    </row>
    <row r="342" spans="1:10" ht="38.25">
      <c r="A342" s="1"/>
      <c r="B342" s="25"/>
      <c r="C342" s="82" t="s">
        <v>96</v>
      </c>
      <c r="D342" s="82" t="s">
        <v>94</v>
      </c>
      <c r="E342" s="138" t="s">
        <v>508</v>
      </c>
      <c r="F342" s="82" t="s">
        <v>212</v>
      </c>
      <c r="G342" s="98" t="s">
        <v>213</v>
      </c>
      <c r="H342" s="41">
        <f>520.3+300-304.8</f>
        <v>515.5</v>
      </c>
      <c r="I342" s="41">
        <v>520.29999999999995</v>
      </c>
      <c r="J342" s="41">
        <v>520.29999999999995</v>
      </c>
    </row>
    <row r="343" spans="1:10" ht="38.25">
      <c r="A343" s="1"/>
      <c r="B343" s="25"/>
      <c r="C343" s="82" t="s">
        <v>96</v>
      </c>
      <c r="D343" s="82" t="s">
        <v>94</v>
      </c>
      <c r="E343" s="138" t="s">
        <v>580</v>
      </c>
      <c r="F343" s="82"/>
      <c r="G343" s="98" t="s">
        <v>581</v>
      </c>
      <c r="H343" s="41">
        <f>H344</f>
        <v>9</v>
      </c>
      <c r="I343" s="41">
        <f t="shared" ref="I343:J343" si="130">I344</f>
        <v>9</v>
      </c>
      <c r="J343" s="41">
        <f t="shared" si="130"/>
        <v>9</v>
      </c>
    </row>
    <row r="344" spans="1:10" ht="38.25">
      <c r="A344" s="1"/>
      <c r="B344" s="25"/>
      <c r="C344" s="82" t="s">
        <v>96</v>
      </c>
      <c r="D344" s="82" t="s">
        <v>94</v>
      </c>
      <c r="E344" s="138" t="s">
        <v>580</v>
      </c>
      <c r="F344" s="82" t="s">
        <v>212</v>
      </c>
      <c r="G344" s="98" t="s">
        <v>213</v>
      </c>
      <c r="H344" s="41">
        <v>9</v>
      </c>
      <c r="I344" s="41">
        <v>9</v>
      </c>
      <c r="J344" s="41">
        <v>9</v>
      </c>
    </row>
    <row r="345" spans="1:10" ht="89.25">
      <c r="A345" s="1"/>
      <c r="B345" s="25"/>
      <c r="C345" s="5" t="s">
        <v>96</v>
      </c>
      <c r="D345" s="5" t="s">
        <v>94</v>
      </c>
      <c r="E345" s="73" t="s">
        <v>56</v>
      </c>
      <c r="F345" s="16"/>
      <c r="G345" s="53" t="s">
        <v>623</v>
      </c>
      <c r="H345" s="96">
        <f>H346+H358+H365+H374</f>
        <v>30614.400000000001</v>
      </c>
      <c r="I345" s="96">
        <f>I346+I358+I365+I374</f>
        <v>16307</v>
      </c>
      <c r="J345" s="96">
        <f t="shared" ref="J345" si="131">J346+J358+J365+J374</f>
        <v>16307</v>
      </c>
    </row>
    <row r="346" spans="1:10" ht="51">
      <c r="A346" s="1"/>
      <c r="B346" s="25"/>
      <c r="C346" s="82" t="s">
        <v>96</v>
      </c>
      <c r="D346" s="82" t="s">
        <v>94</v>
      </c>
      <c r="E346" s="52" t="s">
        <v>57</v>
      </c>
      <c r="F346" s="47"/>
      <c r="G346" s="48" t="s">
        <v>758</v>
      </c>
      <c r="H346" s="93">
        <f>H347+H355</f>
        <v>10813.7</v>
      </c>
      <c r="I346" s="93">
        <f>I347+I355</f>
        <v>5450</v>
      </c>
      <c r="J346" s="93">
        <f t="shared" ref="J346" si="132">J347+J355</f>
        <v>5450</v>
      </c>
    </row>
    <row r="347" spans="1:10" ht="38.25">
      <c r="A347" s="1"/>
      <c r="B347" s="25"/>
      <c r="C347" s="16" t="s">
        <v>96</v>
      </c>
      <c r="D347" s="82" t="s">
        <v>94</v>
      </c>
      <c r="E347" s="21" t="s">
        <v>238</v>
      </c>
      <c r="F347" s="47"/>
      <c r="G347" s="99" t="s">
        <v>653</v>
      </c>
      <c r="H347" s="93">
        <f>H348+H350+H353</f>
        <v>10463.700000000001</v>
      </c>
      <c r="I347" s="93">
        <f>I348+I350+I353</f>
        <v>5100</v>
      </c>
      <c r="J347" s="93">
        <f t="shared" ref="J347" si="133">J348+J350+J353</f>
        <v>5100</v>
      </c>
    </row>
    <row r="348" spans="1:10" ht="38.25">
      <c r="A348" s="1"/>
      <c r="B348" s="25"/>
      <c r="C348" s="16" t="s">
        <v>96</v>
      </c>
      <c r="D348" s="82" t="s">
        <v>94</v>
      </c>
      <c r="E348" s="74">
        <v>1210123505</v>
      </c>
      <c r="F348" s="21"/>
      <c r="G348" s="98" t="s">
        <v>538</v>
      </c>
      <c r="H348" s="41">
        <f>H349</f>
        <v>4068.2000000000003</v>
      </c>
      <c r="I348" s="41">
        <f>I349</f>
        <v>1750</v>
      </c>
      <c r="J348" s="41">
        <f>J349</f>
        <v>1750</v>
      </c>
    </row>
    <row r="349" spans="1:10" ht="38.25">
      <c r="A349" s="1"/>
      <c r="B349" s="25"/>
      <c r="C349" s="82" t="s">
        <v>96</v>
      </c>
      <c r="D349" s="82" t="s">
        <v>94</v>
      </c>
      <c r="E349" s="74">
        <v>1210123505</v>
      </c>
      <c r="F349" s="82" t="s">
        <v>212</v>
      </c>
      <c r="G349" s="98" t="s">
        <v>213</v>
      </c>
      <c r="H349" s="39">
        <f>4057.1+14.3-3.2</f>
        <v>4068.2000000000003</v>
      </c>
      <c r="I349" s="39">
        <v>1750</v>
      </c>
      <c r="J349" s="39">
        <v>1750</v>
      </c>
    </row>
    <row r="350" spans="1:10" ht="63.75">
      <c r="A350" s="1"/>
      <c r="B350" s="25"/>
      <c r="C350" s="82" t="s">
        <v>96</v>
      </c>
      <c r="D350" s="82" t="s">
        <v>94</v>
      </c>
      <c r="E350" s="74">
        <v>1210123510</v>
      </c>
      <c r="F350" s="21"/>
      <c r="G350" s="98" t="s">
        <v>239</v>
      </c>
      <c r="H350" s="41">
        <f>SUM(H351:H352)</f>
        <v>5263.6</v>
      </c>
      <c r="I350" s="41">
        <f t="shared" ref="I350:J350" si="134">SUM(I351:I352)</f>
        <v>2850</v>
      </c>
      <c r="J350" s="41">
        <f t="shared" si="134"/>
        <v>2850</v>
      </c>
    </row>
    <row r="351" spans="1:10" ht="38.25">
      <c r="A351" s="1"/>
      <c r="B351" s="25"/>
      <c r="C351" s="16" t="s">
        <v>96</v>
      </c>
      <c r="D351" s="82" t="s">
        <v>94</v>
      </c>
      <c r="E351" s="74">
        <v>1210123510</v>
      </c>
      <c r="F351" s="82" t="s">
        <v>212</v>
      </c>
      <c r="G351" s="98" t="s">
        <v>213</v>
      </c>
      <c r="H351" s="41">
        <f>5538.8-14.3-63.9-0.2-218+15+6</f>
        <v>5263.4000000000005</v>
      </c>
      <c r="I351" s="41">
        <v>2850</v>
      </c>
      <c r="J351" s="41">
        <v>2850</v>
      </c>
    </row>
    <row r="352" spans="1:10">
      <c r="A352" s="1"/>
      <c r="B352" s="25"/>
      <c r="C352" s="16" t="s">
        <v>96</v>
      </c>
      <c r="D352" s="82" t="s">
        <v>94</v>
      </c>
      <c r="E352" s="74">
        <v>1210123510</v>
      </c>
      <c r="F352" s="82" t="s">
        <v>716</v>
      </c>
      <c r="G352" s="98" t="s">
        <v>717</v>
      </c>
      <c r="H352" s="41">
        <v>0.2</v>
      </c>
      <c r="I352" s="41">
        <v>0</v>
      </c>
      <c r="J352" s="41">
        <v>0</v>
      </c>
    </row>
    <row r="353" spans="1:10" ht="25.5">
      <c r="A353" s="1"/>
      <c r="B353" s="25"/>
      <c r="C353" s="82" t="s">
        <v>96</v>
      </c>
      <c r="D353" s="82" t="s">
        <v>94</v>
      </c>
      <c r="E353" s="74">
        <v>1210123515</v>
      </c>
      <c r="F353" s="16"/>
      <c r="G353" s="98" t="s">
        <v>23</v>
      </c>
      <c r="H353" s="41">
        <f>H354</f>
        <v>1131.9000000000001</v>
      </c>
      <c r="I353" s="41">
        <f>I354</f>
        <v>500</v>
      </c>
      <c r="J353" s="41">
        <f>J354</f>
        <v>500</v>
      </c>
    </row>
    <row r="354" spans="1:10" ht="38.25">
      <c r="A354" s="1"/>
      <c r="B354" s="25"/>
      <c r="C354" s="82" t="s">
        <v>96</v>
      </c>
      <c r="D354" s="82" t="s">
        <v>94</v>
      </c>
      <c r="E354" s="74">
        <v>1210123515</v>
      </c>
      <c r="F354" s="82" t="s">
        <v>212</v>
      </c>
      <c r="G354" s="98" t="s">
        <v>213</v>
      </c>
      <c r="H354" s="41">
        <v>1131.9000000000001</v>
      </c>
      <c r="I354" s="41">
        <v>500</v>
      </c>
      <c r="J354" s="41">
        <v>500</v>
      </c>
    </row>
    <row r="355" spans="1:10" ht="28.5" customHeight="1">
      <c r="A355" s="1"/>
      <c r="B355" s="25"/>
      <c r="C355" s="47" t="s">
        <v>96</v>
      </c>
      <c r="D355" s="47" t="s">
        <v>94</v>
      </c>
      <c r="E355" s="21" t="s">
        <v>292</v>
      </c>
      <c r="F355" s="82"/>
      <c r="G355" s="99" t="s">
        <v>293</v>
      </c>
      <c r="H355" s="41">
        <f>H356</f>
        <v>350</v>
      </c>
      <c r="I355" s="41">
        <f t="shared" ref="I355:J355" si="135">I356</f>
        <v>350</v>
      </c>
      <c r="J355" s="41">
        <f t="shared" si="135"/>
        <v>350</v>
      </c>
    </row>
    <row r="356" spans="1:10" ht="25.5">
      <c r="A356" s="1"/>
      <c r="B356" s="25"/>
      <c r="C356" s="16" t="s">
        <v>96</v>
      </c>
      <c r="D356" s="82" t="s">
        <v>94</v>
      </c>
      <c r="E356" s="74">
        <v>1210223520</v>
      </c>
      <c r="F356" s="16"/>
      <c r="G356" s="98" t="s">
        <v>240</v>
      </c>
      <c r="H356" s="41">
        <f>H357</f>
        <v>350</v>
      </c>
      <c r="I356" s="41">
        <f>I357</f>
        <v>350</v>
      </c>
      <c r="J356" s="41">
        <f>J357</f>
        <v>350</v>
      </c>
    </row>
    <row r="357" spans="1:10" ht="38.25">
      <c r="A357" s="1"/>
      <c r="B357" s="25"/>
      <c r="C357" s="82" t="s">
        <v>96</v>
      </c>
      <c r="D357" s="82" t="s">
        <v>94</v>
      </c>
      <c r="E357" s="74">
        <v>1210223520</v>
      </c>
      <c r="F357" s="82" t="s">
        <v>212</v>
      </c>
      <c r="G357" s="98" t="s">
        <v>213</v>
      </c>
      <c r="H357" s="39">
        <v>350</v>
      </c>
      <c r="I357" s="39">
        <v>350</v>
      </c>
      <c r="J357" s="39">
        <v>350</v>
      </c>
    </row>
    <row r="358" spans="1:10" ht="25.5">
      <c r="A358" s="1"/>
      <c r="B358" s="25"/>
      <c r="C358" s="82" t="s">
        <v>96</v>
      </c>
      <c r="D358" s="82" t="s">
        <v>94</v>
      </c>
      <c r="E358" s="52" t="s">
        <v>58</v>
      </c>
      <c r="F358" s="47"/>
      <c r="G358" s="48" t="s">
        <v>26</v>
      </c>
      <c r="H358" s="93">
        <f>H359+H363</f>
        <v>1963.8</v>
      </c>
      <c r="I358" s="93">
        <f>I359+I363</f>
        <v>1325</v>
      </c>
      <c r="J358" s="93">
        <f t="shared" ref="J358" si="136">J359+J363</f>
        <v>1325</v>
      </c>
    </row>
    <row r="359" spans="1:10" ht="16.5" customHeight="1">
      <c r="A359" s="1"/>
      <c r="B359" s="25"/>
      <c r="C359" s="82" t="s">
        <v>96</v>
      </c>
      <c r="D359" s="82" t="s">
        <v>94</v>
      </c>
      <c r="E359" s="21" t="s">
        <v>241</v>
      </c>
      <c r="F359" s="47"/>
      <c r="G359" s="99" t="s">
        <v>242</v>
      </c>
      <c r="H359" s="39">
        <f t="shared" ref="H359:J360" si="137">H360</f>
        <v>1963.8</v>
      </c>
      <c r="I359" s="39">
        <f t="shared" si="137"/>
        <v>850</v>
      </c>
      <c r="J359" s="39">
        <f t="shared" si="137"/>
        <v>850</v>
      </c>
    </row>
    <row r="360" spans="1:10" ht="25.5">
      <c r="A360" s="1"/>
      <c r="B360" s="25"/>
      <c r="C360" s="82" t="s">
        <v>96</v>
      </c>
      <c r="D360" s="82" t="s">
        <v>94</v>
      </c>
      <c r="E360" s="79">
        <v>1220123525</v>
      </c>
      <c r="F360" s="16"/>
      <c r="G360" s="98" t="s">
        <v>191</v>
      </c>
      <c r="H360" s="41">
        <f t="shared" si="137"/>
        <v>1963.8</v>
      </c>
      <c r="I360" s="41">
        <f t="shared" si="137"/>
        <v>850</v>
      </c>
      <c r="J360" s="41">
        <f t="shared" si="137"/>
        <v>850</v>
      </c>
    </row>
    <row r="361" spans="1:10" ht="38.25">
      <c r="A361" s="1"/>
      <c r="B361" s="25"/>
      <c r="C361" s="82" t="s">
        <v>96</v>
      </c>
      <c r="D361" s="82" t="s">
        <v>94</v>
      </c>
      <c r="E361" s="79">
        <v>1220123525</v>
      </c>
      <c r="F361" s="82" t="s">
        <v>212</v>
      </c>
      <c r="G361" s="98" t="s">
        <v>213</v>
      </c>
      <c r="H361" s="41">
        <f>1972.7-8.9</f>
        <v>1963.8</v>
      </c>
      <c r="I361" s="41">
        <v>850</v>
      </c>
      <c r="J361" s="41">
        <v>850</v>
      </c>
    </row>
    <row r="362" spans="1:10" ht="38.25">
      <c r="A362" s="1"/>
      <c r="B362" s="25"/>
      <c r="C362" s="82" t="s">
        <v>96</v>
      </c>
      <c r="D362" s="82" t="s">
        <v>94</v>
      </c>
      <c r="E362" s="21" t="s">
        <v>540</v>
      </c>
      <c r="F362" s="82"/>
      <c r="G362" s="99" t="s">
        <v>539</v>
      </c>
      <c r="H362" s="41">
        <f>H363</f>
        <v>0</v>
      </c>
      <c r="I362" s="41">
        <f t="shared" ref="I362:J362" si="138">I363</f>
        <v>475</v>
      </c>
      <c r="J362" s="41">
        <f t="shared" si="138"/>
        <v>475</v>
      </c>
    </row>
    <row r="363" spans="1:10" ht="25.5">
      <c r="A363" s="1"/>
      <c r="B363" s="25"/>
      <c r="C363" s="82" t="s">
        <v>96</v>
      </c>
      <c r="D363" s="82" t="s">
        <v>94</v>
      </c>
      <c r="E363" s="79">
        <v>1220223530</v>
      </c>
      <c r="F363" s="16"/>
      <c r="G363" s="98" t="s">
        <v>192</v>
      </c>
      <c r="H363" s="41">
        <f>H364</f>
        <v>0</v>
      </c>
      <c r="I363" s="41">
        <f>I364</f>
        <v>475</v>
      </c>
      <c r="J363" s="41">
        <f>J364</f>
        <v>475</v>
      </c>
    </row>
    <row r="364" spans="1:10" ht="38.25">
      <c r="A364" s="1"/>
      <c r="B364" s="25"/>
      <c r="C364" s="82" t="s">
        <v>96</v>
      </c>
      <c r="D364" s="82" t="s">
        <v>94</v>
      </c>
      <c r="E364" s="79">
        <v>1220223530</v>
      </c>
      <c r="F364" s="82" t="s">
        <v>212</v>
      </c>
      <c r="G364" s="98" t="s">
        <v>213</v>
      </c>
      <c r="H364" s="39">
        <v>0</v>
      </c>
      <c r="I364" s="39">
        <v>475</v>
      </c>
      <c r="J364" s="39">
        <v>475</v>
      </c>
    </row>
    <row r="365" spans="1:10" ht="38.25">
      <c r="A365" s="1"/>
      <c r="B365" s="25"/>
      <c r="C365" s="82" t="s">
        <v>96</v>
      </c>
      <c r="D365" s="82" t="s">
        <v>94</v>
      </c>
      <c r="E365" s="52" t="s">
        <v>59</v>
      </c>
      <c r="F365" s="47"/>
      <c r="G365" s="48" t="s">
        <v>654</v>
      </c>
      <c r="H365" s="93">
        <f>H366</f>
        <v>4668.4000000000005</v>
      </c>
      <c r="I365" s="93">
        <f>I366</f>
        <v>4407</v>
      </c>
      <c r="J365" s="93">
        <f t="shared" ref="J365" si="139">J366</f>
        <v>4407</v>
      </c>
    </row>
    <row r="366" spans="1:10" ht="51">
      <c r="A366" s="1"/>
      <c r="B366" s="25"/>
      <c r="C366" s="82" t="s">
        <v>96</v>
      </c>
      <c r="D366" s="82" t="s">
        <v>94</v>
      </c>
      <c r="E366" s="21" t="s">
        <v>243</v>
      </c>
      <c r="F366" s="47"/>
      <c r="G366" s="99" t="s">
        <v>244</v>
      </c>
      <c r="H366" s="39">
        <f>H367+H370+H372</f>
        <v>4668.4000000000005</v>
      </c>
      <c r="I366" s="39">
        <f>I367+I370+I372</f>
        <v>4407</v>
      </c>
      <c r="J366" s="39">
        <f t="shared" ref="J366" si="140">J367+J370+J372</f>
        <v>4407</v>
      </c>
    </row>
    <row r="367" spans="1:10" ht="25.5">
      <c r="A367" s="1"/>
      <c r="B367" s="25"/>
      <c r="C367" s="82" t="s">
        <v>96</v>
      </c>
      <c r="D367" s="82" t="s">
        <v>94</v>
      </c>
      <c r="E367" s="21" t="s">
        <v>541</v>
      </c>
      <c r="F367" s="16"/>
      <c r="G367" s="98" t="s">
        <v>307</v>
      </c>
      <c r="H367" s="41">
        <f>SUM(H368:H369)</f>
        <v>3681.3</v>
      </c>
      <c r="I367" s="41">
        <f>I368</f>
        <v>3800</v>
      </c>
      <c r="J367" s="41">
        <f>J368</f>
        <v>3800</v>
      </c>
    </row>
    <row r="368" spans="1:10" ht="38.25">
      <c r="A368" s="1"/>
      <c r="B368" s="25"/>
      <c r="C368" s="82" t="s">
        <v>96</v>
      </c>
      <c r="D368" s="82" t="s">
        <v>94</v>
      </c>
      <c r="E368" s="21" t="s">
        <v>541</v>
      </c>
      <c r="F368" s="82" t="s">
        <v>212</v>
      </c>
      <c r="G368" s="98" t="s">
        <v>213</v>
      </c>
      <c r="H368" s="41">
        <f>3681.3-0.6</f>
        <v>3680.7000000000003</v>
      </c>
      <c r="I368" s="41">
        <v>3800</v>
      </c>
      <c r="J368" s="41">
        <v>3800</v>
      </c>
    </row>
    <row r="369" spans="1:10">
      <c r="A369" s="1"/>
      <c r="B369" s="25"/>
      <c r="C369" s="82" t="s">
        <v>96</v>
      </c>
      <c r="D369" s="82" t="s">
        <v>94</v>
      </c>
      <c r="E369" s="21" t="s">
        <v>541</v>
      </c>
      <c r="F369" s="82" t="s">
        <v>716</v>
      </c>
      <c r="G369" s="98" t="s">
        <v>717</v>
      </c>
      <c r="H369" s="41">
        <v>0.6</v>
      </c>
      <c r="I369" s="41">
        <v>0</v>
      </c>
      <c r="J369" s="41">
        <v>0</v>
      </c>
    </row>
    <row r="370" spans="1:10" ht="25.5">
      <c r="A370" s="1"/>
      <c r="B370" s="25"/>
      <c r="C370" s="82" t="s">
        <v>96</v>
      </c>
      <c r="D370" s="82" t="s">
        <v>94</v>
      </c>
      <c r="E370" s="21" t="s">
        <v>542</v>
      </c>
      <c r="F370" s="16"/>
      <c r="G370" s="98" t="s">
        <v>24</v>
      </c>
      <c r="H370" s="41">
        <f>H371</f>
        <v>980.1</v>
      </c>
      <c r="I370" s="41">
        <f>I371</f>
        <v>600</v>
      </c>
      <c r="J370" s="41">
        <f>J371</f>
        <v>600</v>
      </c>
    </row>
    <row r="371" spans="1:10" ht="38.25">
      <c r="A371" s="1"/>
      <c r="B371" s="25"/>
      <c r="C371" s="82" t="s">
        <v>96</v>
      </c>
      <c r="D371" s="82" t="s">
        <v>94</v>
      </c>
      <c r="E371" s="21" t="s">
        <v>542</v>
      </c>
      <c r="F371" s="82" t="s">
        <v>212</v>
      </c>
      <c r="G371" s="98" t="s">
        <v>213</v>
      </c>
      <c r="H371" s="41">
        <f>600+380.1</f>
        <v>980.1</v>
      </c>
      <c r="I371" s="41">
        <v>600</v>
      </c>
      <c r="J371" s="41">
        <v>600</v>
      </c>
    </row>
    <row r="372" spans="1:10" ht="25.5">
      <c r="A372" s="1"/>
      <c r="B372" s="25"/>
      <c r="C372" s="82" t="s">
        <v>96</v>
      </c>
      <c r="D372" s="82" t="s">
        <v>94</v>
      </c>
      <c r="E372" s="21" t="s">
        <v>543</v>
      </c>
      <c r="F372" s="16"/>
      <c r="G372" s="98" t="s">
        <v>193</v>
      </c>
      <c r="H372" s="41">
        <f>H373</f>
        <v>7</v>
      </c>
      <c r="I372" s="41">
        <f>I373</f>
        <v>7</v>
      </c>
      <c r="J372" s="41">
        <f>J373</f>
        <v>7</v>
      </c>
    </row>
    <row r="373" spans="1:10" ht="38.25">
      <c r="A373" s="1"/>
      <c r="B373" s="25"/>
      <c r="C373" s="82" t="s">
        <v>96</v>
      </c>
      <c r="D373" s="82" t="s">
        <v>94</v>
      </c>
      <c r="E373" s="21" t="s">
        <v>543</v>
      </c>
      <c r="F373" s="82" t="s">
        <v>212</v>
      </c>
      <c r="G373" s="98" t="s">
        <v>213</v>
      </c>
      <c r="H373" s="41">
        <v>7</v>
      </c>
      <c r="I373" s="41">
        <v>7</v>
      </c>
      <c r="J373" s="41">
        <v>7</v>
      </c>
    </row>
    <row r="374" spans="1:10" ht="51">
      <c r="A374" s="1"/>
      <c r="B374" s="25"/>
      <c r="C374" s="82" t="s">
        <v>96</v>
      </c>
      <c r="D374" s="82" t="s">
        <v>94</v>
      </c>
      <c r="E374" s="52" t="s">
        <v>544</v>
      </c>
      <c r="F374" s="16"/>
      <c r="G374" s="60" t="s">
        <v>545</v>
      </c>
      <c r="H374" s="41">
        <f>H375+H380+H385</f>
        <v>13168.5</v>
      </c>
      <c r="I374" s="41">
        <f>I375+I380+I385</f>
        <v>5125</v>
      </c>
      <c r="J374" s="41">
        <f>J375+J380+J385</f>
        <v>5125</v>
      </c>
    </row>
    <row r="375" spans="1:10" ht="63.75">
      <c r="A375" s="1"/>
      <c r="B375" s="25"/>
      <c r="C375" s="82" t="s">
        <v>96</v>
      </c>
      <c r="D375" s="82" t="s">
        <v>94</v>
      </c>
      <c r="E375" s="21" t="s">
        <v>547</v>
      </c>
      <c r="F375" s="16"/>
      <c r="G375" s="99" t="s">
        <v>546</v>
      </c>
      <c r="H375" s="41">
        <f>H376+H378</f>
        <v>0</v>
      </c>
      <c r="I375" s="41">
        <f t="shared" ref="I375:J375" si="141">I376+I378</f>
        <v>265</v>
      </c>
      <c r="J375" s="41">
        <f t="shared" si="141"/>
        <v>265</v>
      </c>
    </row>
    <row r="376" spans="1:10" ht="25.5">
      <c r="A376" s="1"/>
      <c r="B376" s="25"/>
      <c r="C376" s="82" t="s">
        <v>96</v>
      </c>
      <c r="D376" s="82" t="s">
        <v>94</v>
      </c>
      <c r="E376" s="21" t="s">
        <v>548</v>
      </c>
      <c r="F376" s="16"/>
      <c r="G376" s="98" t="s">
        <v>377</v>
      </c>
      <c r="H376" s="41">
        <f>H377</f>
        <v>0</v>
      </c>
      <c r="I376" s="41">
        <f>I377</f>
        <v>250</v>
      </c>
      <c r="J376" s="41">
        <f>J377</f>
        <v>250</v>
      </c>
    </row>
    <row r="377" spans="1:10" ht="38.25">
      <c r="A377" s="1"/>
      <c r="B377" s="25"/>
      <c r="C377" s="82" t="s">
        <v>96</v>
      </c>
      <c r="D377" s="82" t="s">
        <v>94</v>
      </c>
      <c r="E377" s="21" t="s">
        <v>548</v>
      </c>
      <c r="F377" s="82" t="s">
        <v>212</v>
      </c>
      <c r="G377" s="98" t="s">
        <v>213</v>
      </c>
      <c r="H377" s="41">
        <v>0</v>
      </c>
      <c r="I377" s="41">
        <v>250</v>
      </c>
      <c r="J377" s="41">
        <v>250</v>
      </c>
    </row>
    <row r="378" spans="1:10" ht="51">
      <c r="A378" s="1"/>
      <c r="B378" s="25"/>
      <c r="C378" s="82" t="s">
        <v>96</v>
      </c>
      <c r="D378" s="82" t="s">
        <v>94</v>
      </c>
      <c r="E378" s="21" t="s">
        <v>550</v>
      </c>
      <c r="F378" s="82"/>
      <c r="G378" s="98" t="s">
        <v>549</v>
      </c>
      <c r="H378" s="41">
        <f>H379</f>
        <v>0</v>
      </c>
      <c r="I378" s="41">
        <f t="shared" ref="I378:J378" si="142">I379</f>
        <v>15</v>
      </c>
      <c r="J378" s="41">
        <f t="shared" si="142"/>
        <v>15</v>
      </c>
    </row>
    <row r="379" spans="1:10" ht="38.25">
      <c r="A379" s="1"/>
      <c r="B379" s="25"/>
      <c r="C379" s="82" t="s">
        <v>96</v>
      </c>
      <c r="D379" s="82" t="s">
        <v>94</v>
      </c>
      <c r="E379" s="21" t="s">
        <v>550</v>
      </c>
      <c r="F379" s="82" t="s">
        <v>212</v>
      </c>
      <c r="G379" s="98" t="s">
        <v>213</v>
      </c>
      <c r="H379" s="41">
        <f>15-15</f>
        <v>0</v>
      </c>
      <c r="I379" s="41">
        <v>15</v>
      </c>
      <c r="J379" s="41">
        <v>15</v>
      </c>
    </row>
    <row r="380" spans="1:10" ht="38.25">
      <c r="A380" s="1"/>
      <c r="B380" s="25"/>
      <c r="C380" s="82" t="s">
        <v>96</v>
      </c>
      <c r="D380" s="82" t="s">
        <v>94</v>
      </c>
      <c r="E380" s="21" t="s">
        <v>551</v>
      </c>
      <c r="F380" s="16"/>
      <c r="G380" s="99" t="s">
        <v>552</v>
      </c>
      <c r="H380" s="41">
        <f>H381+H383</f>
        <v>962.9</v>
      </c>
      <c r="I380" s="41">
        <f t="shared" ref="I380:J380" si="143">I381+I383</f>
        <v>10</v>
      </c>
      <c r="J380" s="41">
        <f t="shared" si="143"/>
        <v>10</v>
      </c>
    </row>
    <row r="381" spans="1:10" ht="38.25">
      <c r="A381" s="1"/>
      <c r="B381" s="25"/>
      <c r="C381" s="82" t="s">
        <v>96</v>
      </c>
      <c r="D381" s="82" t="s">
        <v>94</v>
      </c>
      <c r="E381" s="21" t="s">
        <v>657</v>
      </c>
      <c r="F381" s="16"/>
      <c r="G381" s="99" t="s">
        <v>658</v>
      </c>
      <c r="H381" s="41">
        <f>H382</f>
        <v>962.9</v>
      </c>
      <c r="I381" s="41">
        <f t="shared" ref="I381:J381" si="144">I382</f>
        <v>0</v>
      </c>
      <c r="J381" s="41">
        <f t="shared" si="144"/>
        <v>0</v>
      </c>
    </row>
    <row r="382" spans="1:10" ht="38.25">
      <c r="A382" s="1"/>
      <c r="B382" s="25"/>
      <c r="C382" s="16" t="s">
        <v>96</v>
      </c>
      <c r="D382" s="16" t="s">
        <v>94</v>
      </c>
      <c r="E382" s="21" t="s">
        <v>657</v>
      </c>
      <c r="F382" s="82" t="s">
        <v>212</v>
      </c>
      <c r="G382" s="98" t="s">
        <v>213</v>
      </c>
      <c r="H382" s="41">
        <f>799.5+163.4</f>
        <v>962.9</v>
      </c>
      <c r="I382" s="41">
        <v>0</v>
      </c>
      <c r="J382" s="41">
        <v>0</v>
      </c>
    </row>
    <row r="383" spans="1:10" ht="51">
      <c r="A383" s="1"/>
      <c r="B383" s="25"/>
      <c r="C383" s="82" t="s">
        <v>96</v>
      </c>
      <c r="D383" s="82" t="s">
        <v>94</v>
      </c>
      <c r="E383" s="21" t="s">
        <v>558</v>
      </c>
      <c r="F383" s="82"/>
      <c r="G383" s="98" t="s">
        <v>559</v>
      </c>
      <c r="H383" s="41">
        <f>H384</f>
        <v>0</v>
      </c>
      <c r="I383" s="41">
        <f t="shared" ref="I383:J383" si="145">I384</f>
        <v>10</v>
      </c>
      <c r="J383" s="41">
        <f t="shared" si="145"/>
        <v>10</v>
      </c>
    </row>
    <row r="384" spans="1:10" ht="38.25">
      <c r="A384" s="1"/>
      <c r="B384" s="25"/>
      <c r="C384" s="16" t="s">
        <v>96</v>
      </c>
      <c r="D384" s="16" t="s">
        <v>94</v>
      </c>
      <c r="E384" s="21" t="s">
        <v>558</v>
      </c>
      <c r="F384" s="82" t="s">
        <v>212</v>
      </c>
      <c r="G384" s="98" t="s">
        <v>213</v>
      </c>
      <c r="H384" s="41">
        <v>0</v>
      </c>
      <c r="I384" s="41">
        <v>10</v>
      </c>
      <c r="J384" s="41">
        <v>10</v>
      </c>
    </row>
    <row r="385" spans="1:10" ht="51">
      <c r="A385" s="1"/>
      <c r="B385" s="25"/>
      <c r="C385" s="16" t="s">
        <v>96</v>
      </c>
      <c r="D385" s="16" t="s">
        <v>94</v>
      </c>
      <c r="E385" s="21" t="s">
        <v>553</v>
      </c>
      <c r="F385" s="16"/>
      <c r="G385" s="98" t="s">
        <v>740</v>
      </c>
      <c r="H385" s="41">
        <f>H386+H388</f>
        <v>12205.6</v>
      </c>
      <c r="I385" s="41">
        <f>I386+I388</f>
        <v>4850</v>
      </c>
      <c r="J385" s="41">
        <f t="shared" ref="J385" si="146">J386+J388</f>
        <v>4850</v>
      </c>
    </row>
    <row r="386" spans="1:10" ht="38.25">
      <c r="A386" s="1"/>
      <c r="B386" s="25"/>
      <c r="C386" s="16" t="s">
        <v>96</v>
      </c>
      <c r="D386" s="16" t="s">
        <v>94</v>
      </c>
      <c r="E386" s="21" t="s">
        <v>554</v>
      </c>
      <c r="F386" s="82"/>
      <c r="G386" s="98" t="s">
        <v>557</v>
      </c>
      <c r="H386" s="41">
        <f t="shared" ref="H386:J386" si="147">H387</f>
        <v>9200</v>
      </c>
      <c r="I386" s="41">
        <f t="shared" si="147"/>
        <v>3800</v>
      </c>
      <c r="J386" s="41">
        <f t="shared" si="147"/>
        <v>3800</v>
      </c>
    </row>
    <row r="387" spans="1:10" ht="38.25">
      <c r="A387" s="1"/>
      <c r="B387" s="25"/>
      <c r="C387" s="16" t="s">
        <v>96</v>
      </c>
      <c r="D387" s="16" t="s">
        <v>94</v>
      </c>
      <c r="E387" s="21" t="s">
        <v>554</v>
      </c>
      <c r="F387" s="82" t="s">
        <v>212</v>
      </c>
      <c r="G387" s="98" t="s">
        <v>213</v>
      </c>
      <c r="H387" s="41">
        <v>9200</v>
      </c>
      <c r="I387" s="41">
        <v>3800</v>
      </c>
      <c r="J387" s="41">
        <v>3800</v>
      </c>
    </row>
    <row r="388" spans="1:10" ht="17.25" customHeight="1">
      <c r="A388" s="1"/>
      <c r="B388" s="25"/>
      <c r="C388" s="16" t="s">
        <v>96</v>
      </c>
      <c r="D388" s="16" t="s">
        <v>94</v>
      </c>
      <c r="E388" s="21" t="s">
        <v>555</v>
      </c>
      <c r="F388" s="82"/>
      <c r="G388" s="98" t="s">
        <v>556</v>
      </c>
      <c r="H388" s="41">
        <f>H389</f>
        <v>3005.6</v>
      </c>
      <c r="I388" s="41">
        <f t="shared" ref="I388:J388" si="148">I389</f>
        <v>1050</v>
      </c>
      <c r="J388" s="41">
        <f t="shared" si="148"/>
        <v>1050</v>
      </c>
    </row>
    <row r="389" spans="1:10" ht="38.25">
      <c r="A389" s="1"/>
      <c r="B389" s="25"/>
      <c r="C389" s="16" t="s">
        <v>96</v>
      </c>
      <c r="D389" s="16" t="s">
        <v>94</v>
      </c>
      <c r="E389" s="21" t="s">
        <v>555</v>
      </c>
      <c r="F389" s="82" t="s">
        <v>212</v>
      </c>
      <c r="G389" s="98" t="s">
        <v>213</v>
      </c>
      <c r="H389" s="41">
        <f>3256.7-251.1</f>
        <v>3005.6</v>
      </c>
      <c r="I389" s="41">
        <v>1050</v>
      </c>
      <c r="J389" s="41">
        <v>1050</v>
      </c>
    </row>
    <row r="390" spans="1:10" ht="89.25">
      <c r="A390" s="1"/>
      <c r="B390" s="25"/>
      <c r="C390" s="5" t="s">
        <v>96</v>
      </c>
      <c r="D390" s="5" t="s">
        <v>94</v>
      </c>
      <c r="E390" s="76">
        <v>1400000000</v>
      </c>
      <c r="F390" s="16"/>
      <c r="G390" s="142" t="s">
        <v>625</v>
      </c>
      <c r="H390" s="96">
        <f>H391</f>
        <v>18211.099999999999</v>
      </c>
      <c r="I390" s="96">
        <f t="shared" ref="I390:J390" si="149">I391</f>
        <v>17256.900000000001</v>
      </c>
      <c r="J390" s="96">
        <f t="shared" si="149"/>
        <v>0</v>
      </c>
    </row>
    <row r="391" spans="1:10" ht="89.25">
      <c r="A391" s="1"/>
      <c r="B391" s="25"/>
      <c r="C391" s="47" t="s">
        <v>96</v>
      </c>
      <c r="D391" s="47" t="s">
        <v>94</v>
      </c>
      <c r="E391" s="75">
        <v>1410000000</v>
      </c>
      <c r="F391" s="16"/>
      <c r="G391" s="48" t="s">
        <v>217</v>
      </c>
      <c r="H391" s="93">
        <f>H392+H397</f>
        <v>18211.099999999999</v>
      </c>
      <c r="I391" s="93">
        <f>I392+I397</f>
        <v>17256.900000000001</v>
      </c>
      <c r="J391" s="93">
        <f>J392+J397</f>
        <v>0</v>
      </c>
    </row>
    <row r="392" spans="1:10" ht="102">
      <c r="A392" s="1"/>
      <c r="B392" s="25"/>
      <c r="C392" s="16" t="s">
        <v>96</v>
      </c>
      <c r="D392" s="16" t="s">
        <v>94</v>
      </c>
      <c r="E392" s="74">
        <v>1410200000</v>
      </c>
      <c r="F392" s="16"/>
      <c r="G392" s="98" t="s">
        <v>370</v>
      </c>
      <c r="H392" s="41">
        <f>H393+H395</f>
        <v>8569.5</v>
      </c>
      <c r="I392" s="41">
        <f t="shared" ref="I392:J392" si="150">I393+I395</f>
        <v>5473</v>
      </c>
      <c r="J392" s="41">
        <f t="shared" si="150"/>
        <v>0</v>
      </c>
    </row>
    <row r="393" spans="1:10" ht="38.25">
      <c r="A393" s="1"/>
      <c r="B393" s="25"/>
      <c r="C393" s="82" t="s">
        <v>96</v>
      </c>
      <c r="D393" s="82" t="s">
        <v>94</v>
      </c>
      <c r="E393" s="74">
        <v>1410223125</v>
      </c>
      <c r="F393" s="82"/>
      <c r="G393" s="98" t="s">
        <v>712</v>
      </c>
      <c r="H393" s="41">
        <f>H394</f>
        <v>1289.7</v>
      </c>
      <c r="I393" s="41">
        <f>I394</f>
        <v>554.70000000000005</v>
      </c>
      <c r="J393" s="41">
        <f>J394</f>
        <v>0</v>
      </c>
    </row>
    <row r="394" spans="1:10" ht="38.25">
      <c r="A394" s="1"/>
      <c r="B394" s="25"/>
      <c r="C394" s="82" t="s">
        <v>96</v>
      </c>
      <c r="D394" s="82" t="s">
        <v>94</v>
      </c>
      <c r="E394" s="74">
        <v>1410223125</v>
      </c>
      <c r="F394" s="82" t="s">
        <v>212</v>
      </c>
      <c r="G394" s="98" t="s">
        <v>213</v>
      </c>
      <c r="H394" s="41">
        <f>1237.5+58.2-6</f>
        <v>1289.7</v>
      </c>
      <c r="I394" s="41">
        <v>554.70000000000005</v>
      </c>
      <c r="J394" s="41">
        <v>0</v>
      </c>
    </row>
    <row r="395" spans="1:10" ht="25.5">
      <c r="A395" s="1"/>
      <c r="B395" s="25"/>
      <c r="C395" s="82" t="s">
        <v>96</v>
      </c>
      <c r="D395" s="82" t="s">
        <v>94</v>
      </c>
      <c r="E395" s="74">
        <v>1410223130</v>
      </c>
      <c r="F395" s="82"/>
      <c r="G395" s="108" t="s">
        <v>715</v>
      </c>
      <c r="H395" s="41">
        <f>H396</f>
        <v>7279.8</v>
      </c>
      <c r="I395" s="41">
        <f t="shared" ref="I395:J395" si="151">I396</f>
        <v>4918.3</v>
      </c>
      <c r="J395" s="41">
        <f t="shared" si="151"/>
        <v>0</v>
      </c>
    </row>
    <row r="396" spans="1:10" ht="38.25">
      <c r="A396" s="1"/>
      <c r="B396" s="25"/>
      <c r="C396" s="82" t="s">
        <v>96</v>
      </c>
      <c r="D396" s="82" t="s">
        <v>94</v>
      </c>
      <c r="E396" s="74">
        <v>1410223130</v>
      </c>
      <c r="F396" s="82" t="s">
        <v>212</v>
      </c>
      <c r="G396" s="98" t="s">
        <v>213</v>
      </c>
      <c r="H396" s="39">
        <f>12198.1-4918.3</f>
        <v>7279.8</v>
      </c>
      <c r="I396" s="41">
        <v>4918.3</v>
      </c>
      <c r="J396" s="41">
        <v>0</v>
      </c>
    </row>
    <row r="397" spans="1:10" ht="51">
      <c r="A397" s="1"/>
      <c r="B397" s="25"/>
      <c r="C397" s="16" t="s">
        <v>96</v>
      </c>
      <c r="D397" s="16" t="s">
        <v>94</v>
      </c>
      <c r="E397" s="74" t="s">
        <v>387</v>
      </c>
      <c r="F397" s="82"/>
      <c r="G397" s="98" t="s">
        <v>388</v>
      </c>
      <c r="H397" s="41">
        <f>H398</f>
        <v>9641.6</v>
      </c>
      <c r="I397" s="41">
        <f t="shared" ref="I397:J397" si="152">I398</f>
        <v>11783.900000000001</v>
      </c>
      <c r="J397" s="41">
        <f t="shared" si="152"/>
        <v>0</v>
      </c>
    </row>
    <row r="398" spans="1:10" ht="38.25">
      <c r="A398" s="1"/>
      <c r="B398" s="25"/>
      <c r="C398" s="16" t="s">
        <v>96</v>
      </c>
      <c r="D398" s="16" t="s">
        <v>94</v>
      </c>
      <c r="E398" s="74" t="s">
        <v>356</v>
      </c>
      <c r="F398" s="16"/>
      <c r="G398" s="98" t="s">
        <v>322</v>
      </c>
      <c r="H398" s="41">
        <f>H399</f>
        <v>9641.6</v>
      </c>
      <c r="I398" s="41">
        <f>I399</f>
        <v>11783.900000000001</v>
      </c>
      <c r="J398" s="41">
        <f>J399</f>
        <v>0</v>
      </c>
    </row>
    <row r="399" spans="1:10" ht="38.25">
      <c r="A399" s="1"/>
      <c r="B399" s="25"/>
      <c r="C399" s="82" t="s">
        <v>96</v>
      </c>
      <c r="D399" s="16" t="s">
        <v>94</v>
      </c>
      <c r="E399" s="74" t="s">
        <v>356</v>
      </c>
      <c r="F399" s="82" t="s">
        <v>212</v>
      </c>
      <c r="G399" s="98" t="s">
        <v>213</v>
      </c>
      <c r="H399" s="41">
        <f>717.4+8924.2</f>
        <v>9641.6</v>
      </c>
      <c r="I399" s="41">
        <f>717.4-554.7+11621.2</f>
        <v>11783.900000000001</v>
      </c>
      <c r="J399" s="41">
        <v>0</v>
      </c>
    </row>
    <row r="400" spans="1:10" ht="127.5">
      <c r="A400" s="1"/>
      <c r="B400" s="25"/>
      <c r="C400" s="5" t="s">
        <v>96</v>
      </c>
      <c r="D400" s="5" t="s">
        <v>94</v>
      </c>
      <c r="E400" s="73" t="s">
        <v>575</v>
      </c>
      <c r="F400" s="82"/>
      <c r="G400" s="142" t="s">
        <v>626</v>
      </c>
      <c r="H400" s="96">
        <f>H401</f>
        <v>2681.9</v>
      </c>
      <c r="I400" s="96">
        <f t="shared" ref="I400:J400" si="153">I401</f>
        <v>1256.3</v>
      </c>
      <c r="J400" s="96">
        <f t="shared" si="153"/>
        <v>1000</v>
      </c>
    </row>
    <row r="401" spans="1:10" ht="54.75" customHeight="1">
      <c r="A401" s="1"/>
      <c r="B401" s="25"/>
      <c r="C401" s="47" t="s">
        <v>96</v>
      </c>
      <c r="D401" s="47" t="s">
        <v>94</v>
      </c>
      <c r="E401" s="141">
        <v>1510000000</v>
      </c>
      <c r="F401" s="82"/>
      <c r="G401" s="48" t="s">
        <v>368</v>
      </c>
      <c r="H401" s="41">
        <f>H402</f>
        <v>2681.9</v>
      </c>
      <c r="I401" s="41">
        <f t="shared" ref="I401:J403" si="154">I402</f>
        <v>1256.3</v>
      </c>
      <c r="J401" s="41">
        <f t="shared" si="154"/>
        <v>1000</v>
      </c>
    </row>
    <row r="402" spans="1:10" ht="51">
      <c r="A402" s="1"/>
      <c r="B402" s="25"/>
      <c r="C402" s="82" t="s">
        <v>96</v>
      </c>
      <c r="D402" s="16" t="s">
        <v>94</v>
      </c>
      <c r="E402" s="130">
        <v>1510300000</v>
      </c>
      <c r="F402" s="82"/>
      <c r="G402" s="98" t="s">
        <v>578</v>
      </c>
      <c r="H402" s="41">
        <f>H403+H405+H407+H409+H411+H413</f>
        <v>2681.9</v>
      </c>
      <c r="I402" s="41">
        <f t="shared" ref="I402:J402" si="155">I403+I405+I407+I409+I411</f>
        <v>1256.3</v>
      </c>
      <c r="J402" s="41">
        <f t="shared" si="155"/>
        <v>1000</v>
      </c>
    </row>
    <row r="403" spans="1:10" ht="51.75" customHeight="1">
      <c r="A403" s="1"/>
      <c r="B403" s="25"/>
      <c r="C403" s="82" t="s">
        <v>96</v>
      </c>
      <c r="D403" s="16" t="s">
        <v>94</v>
      </c>
      <c r="E403" s="130" t="s">
        <v>579</v>
      </c>
      <c r="F403" s="82"/>
      <c r="G403" s="98" t="s">
        <v>576</v>
      </c>
      <c r="H403" s="41">
        <f>H404</f>
        <v>0</v>
      </c>
      <c r="I403" s="41">
        <f t="shared" si="154"/>
        <v>1256.3</v>
      </c>
      <c r="J403" s="41">
        <f t="shared" si="154"/>
        <v>1000</v>
      </c>
    </row>
    <row r="404" spans="1:10" ht="38.25">
      <c r="A404" s="1"/>
      <c r="B404" s="25"/>
      <c r="C404" s="82" t="s">
        <v>96</v>
      </c>
      <c r="D404" s="16" t="s">
        <v>94</v>
      </c>
      <c r="E404" s="130" t="s">
        <v>579</v>
      </c>
      <c r="F404" s="82" t="s">
        <v>212</v>
      </c>
      <c r="G404" s="98" t="s">
        <v>213</v>
      </c>
      <c r="H404" s="41">
        <f>3243.5-516-2727.5</f>
        <v>0</v>
      </c>
      <c r="I404" s="41">
        <v>1256.3</v>
      </c>
      <c r="J404" s="41">
        <v>1000</v>
      </c>
    </row>
    <row r="405" spans="1:10" ht="51.75" customHeight="1">
      <c r="A405" s="1"/>
      <c r="B405" s="25"/>
      <c r="C405" s="82" t="s">
        <v>96</v>
      </c>
      <c r="D405" s="16" t="s">
        <v>94</v>
      </c>
      <c r="E405" s="130" t="s">
        <v>736</v>
      </c>
      <c r="F405" s="82"/>
      <c r="G405" s="164" t="s">
        <v>711</v>
      </c>
      <c r="H405" s="41">
        <f>H406</f>
        <v>516</v>
      </c>
      <c r="I405" s="41">
        <f t="shared" ref="I405:J405" si="156">I406</f>
        <v>0</v>
      </c>
      <c r="J405" s="41">
        <f t="shared" si="156"/>
        <v>0</v>
      </c>
    </row>
    <row r="406" spans="1:10" ht="38.25">
      <c r="A406" s="1"/>
      <c r="B406" s="25"/>
      <c r="C406" s="82" t="s">
        <v>96</v>
      </c>
      <c r="D406" s="16" t="s">
        <v>94</v>
      </c>
      <c r="E406" s="130" t="s">
        <v>736</v>
      </c>
      <c r="F406" s="82" t="s">
        <v>212</v>
      </c>
      <c r="G406" s="98" t="s">
        <v>213</v>
      </c>
      <c r="H406" s="41">
        <v>516</v>
      </c>
      <c r="I406" s="41">
        <v>0</v>
      </c>
      <c r="J406" s="41">
        <v>0</v>
      </c>
    </row>
    <row r="407" spans="1:10" ht="51" customHeight="1">
      <c r="A407" s="1"/>
      <c r="B407" s="25"/>
      <c r="C407" s="82" t="s">
        <v>96</v>
      </c>
      <c r="D407" s="16" t="s">
        <v>94</v>
      </c>
      <c r="E407" s="130">
        <v>1510319022</v>
      </c>
      <c r="F407" s="82"/>
      <c r="G407" s="164" t="s">
        <v>711</v>
      </c>
      <c r="H407" s="41">
        <f>H408</f>
        <v>525.9</v>
      </c>
      <c r="I407" s="41">
        <f t="shared" ref="I407:J407" si="157">I408</f>
        <v>0</v>
      </c>
      <c r="J407" s="41">
        <f t="shared" si="157"/>
        <v>0</v>
      </c>
    </row>
    <row r="408" spans="1:10" ht="38.25">
      <c r="A408" s="1"/>
      <c r="B408" s="25"/>
      <c r="C408" s="82" t="s">
        <v>96</v>
      </c>
      <c r="D408" s="16" t="s">
        <v>94</v>
      </c>
      <c r="E408" s="130">
        <v>1510319022</v>
      </c>
      <c r="F408" s="82" t="s">
        <v>212</v>
      </c>
      <c r="G408" s="98" t="s">
        <v>213</v>
      </c>
      <c r="H408" s="41">
        <v>525.9</v>
      </c>
      <c r="I408" s="41">
        <v>0</v>
      </c>
      <c r="J408" s="41">
        <v>0</v>
      </c>
    </row>
    <row r="409" spans="1:10" ht="51" customHeight="1">
      <c r="A409" s="1"/>
      <c r="B409" s="25"/>
      <c r="C409" s="82" t="s">
        <v>96</v>
      </c>
      <c r="D409" s="16" t="s">
        <v>94</v>
      </c>
      <c r="E409" s="130">
        <v>1510319322</v>
      </c>
      <c r="F409" s="82"/>
      <c r="G409" s="164" t="s">
        <v>711</v>
      </c>
      <c r="H409" s="41">
        <f>H410</f>
        <v>10</v>
      </c>
      <c r="I409" s="41">
        <f t="shared" ref="I409:J409" si="158">I410</f>
        <v>0</v>
      </c>
      <c r="J409" s="41">
        <f t="shared" si="158"/>
        <v>0</v>
      </c>
    </row>
    <row r="410" spans="1:10" ht="38.25">
      <c r="A410" s="1"/>
      <c r="B410" s="25"/>
      <c r="C410" s="82" t="s">
        <v>96</v>
      </c>
      <c r="D410" s="16" t="s">
        <v>94</v>
      </c>
      <c r="E410" s="130">
        <v>1510319322</v>
      </c>
      <c r="F410" s="82" t="s">
        <v>212</v>
      </c>
      <c r="G410" s="98" t="s">
        <v>213</v>
      </c>
      <c r="H410" s="41">
        <v>10</v>
      </c>
      <c r="I410" s="41">
        <v>0</v>
      </c>
      <c r="J410" s="41">
        <v>0</v>
      </c>
    </row>
    <row r="411" spans="1:10" ht="63.75">
      <c r="A411" s="1"/>
      <c r="B411" s="25"/>
      <c r="C411" s="82" t="s">
        <v>96</v>
      </c>
      <c r="D411" s="16" t="s">
        <v>94</v>
      </c>
      <c r="E411" s="130" t="s">
        <v>757</v>
      </c>
      <c r="F411" s="82"/>
      <c r="G411" s="98" t="s">
        <v>756</v>
      </c>
      <c r="H411" s="41">
        <f>H412</f>
        <v>479.6</v>
      </c>
      <c r="I411" s="41">
        <f t="shared" ref="I411:J411" si="159">I412</f>
        <v>0</v>
      </c>
      <c r="J411" s="41">
        <f t="shared" si="159"/>
        <v>0</v>
      </c>
    </row>
    <row r="412" spans="1:10" ht="38.25">
      <c r="A412" s="1"/>
      <c r="B412" s="25"/>
      <c r="C412" s="82" t="s">
        <v>96</v>
      </c>
      <c r="D412" s="16" t="s">
        <v>94</v>
      </c>
      <c r="E412" s="130" t="s">
        <v>757</v>
      </c>
      <c r="F412" s="82" t="s">
        <v>212</v>
      </c>
      <c r="G412" s="98" t="s">
        <v>213</v>
      </c>
      <c r="H412" s="41">
        <v>479.6</v>
      </c>
      <c r="I412" s="41">
        <v>0</v>
      </c>
      <c r="J412" s="41">
        <v>0</v>
      </c>
    </row>
    <row r="413" spans="1:10" ht="63.75">
      <c r="A413" s="1"/>
      <c r="B413" s="25"/>
      <c r="C413" s="82" t="s">
        <v>96</v>
      </c>
      <c r="D413" s="16" t="s">
        <v>94</v>
      </c>
      <c r="E413" s="130">
        <v>1510319023</v>
      </c>
      <c r="F413" s="82"/>
      <c r="G413" s="98" t="s">
        <v>756</v>
      </c>
      <c r="H413" s="41">
        <f>H414</f>
        <v>1150.4000000000001</v>
      </c>
      <c r="I413" s="41">
        <f t="shared" ref="I413:J413" si="160">I414</f>
        <v>0</v>
      </c>
      <c r="J413" s="41">
        <f t="shared" si="160"/>
        <v>0</v>
      </c>
    </row>
    <row r="414" spans="1:10" ht="38.25">
      <c r="A414" s="1"/>
      <c r="B414" s="25"/>
      <c r="C414" s="82" t="s">
        <v>96</v>
      </c>
      <c r="D414" s="16" t="s">
        <v>94</v>
      </c>
      <c r="E414" s="130">
        <v>1510319023</v>
      </c>
      <c r="F414" s="82" t="s">
        <v>212</v>
      </c>
      <c r="G414" s="98" t="s">
        <v>213</v>
      </c>
      <c r="H414" s="41">
        <f>1230.4-80</f>
        <v>1150.4000000000001</v>
      </c>
      <c r="I414" s="41">
        <v>0</v>
      </c>
      <c r="J414" s="41">
        <v>0</v>
      </c>
    </row>
    <row r="415" spans="1:10" ht="42.75">
      <c r="A415" s="1"/>
      <c r="B415" s="25"/>
      <c r="C415" s="30" t="s">
        <v>96</v>
      </c>
      <c r="D415" s="30" t="s">
        <v>96</v>
      </c>
      <c r="E415" s="30"/>
      <c r="F415" s="30"/>
      <c r="G415" s="50" t="s">
        <v>496</v>
      </c>
      <c r="H415" s="93">
        <f>H416</f>
        <v>1564.1</v>
      </c>
      <c r="I415" s="93">
        <f t="shared" ref="I415:J415" si="161">I416</f>
        <v>1180.9000000000001</v>
      </c>
      <c r="J415" s="93">
        <f t="shared" si="161"/>
        <v>1180.9000000000001</v>
      </c>
    </row>
    <row r="416" spans="1:10" ht="63.75">
      <c r="A416" s="1"/>
      <c r="B416" s="25"/>
      <c r="C416" s="5" t="s">
        <v>96</v>
      </c>
      <c r="D416" s="5" t="s">
        <v>96</v>
      </c>
      <c r="E416" s="76">
        <v>400000000</v>
      </c>
      <c r="F416" s="30"/>
      <c r="G416" s="64" t="s">
        <v>386</v>
      </c>
      <c r="H416" s="96">
        <f>H417</f>
        <v>1564.1</v>
      </c>
      <c r="I416" s="96">
        <f t="shared" ref="I416:J416" si="162">I417</f>
        <v>1180.9000000000001</v>
      </c>
      <c r="J416" s="96">
        <f t="shared" si="162"/>
        <v>1180.9000000000001</v>
      </c>
    </row>
    <row r="417" spans="1:10" ht="129.75" customHeight="1">
      <c r="A417" s="1"/>
      <c r="B417" s="25"/>
      <c r="C417" s="82" t="s">
        <v>96</v>
      </c>
      <c r="D417" s="82" t="s">
        <v>96</v>
      </c>
      <c r="E417" s="75">
        <v>430000000</v>
      </c>
      <c r="F417" s="16"/>
      <c r="G417" s="46" t="s">
        <v>495</v>
      </c>
      <c r="H417" s="39">
        <f>H418</f>
        <v>1564.1</v>
      </c>
      <c r="I417" s="39">
        <f t="shared" ref="I417:J417" si="163">I418</f>
        <v>1180.9000000000001</v>
      </c>
      <c r="J417" s="39">
        <f t="shared" si="163"/>
        <v>1180.9000000000001</v>
      </c>
    </row>
    <row r="418" spans="1:10" ht="63.75">
      <c r="A418" s="1"/>
      <c r="B418" s="25"/>
      <c r="C418" s="82" t="s">
        <v>96</v>
      </c>
      <c r="D418" s="82" t="s">
        <v>96</v>
      </c>
      <c r="E418" s="74">
        <v>430100000</v>
      </c>
      <c r="F418" s="30"/>
      <c r="G418" s="97" t="s">
        <v>234</v>
      </c>
      <c r="H418" s="39">
        <f>H419+H421</f>
        <v>1564.1</v>
      </c>
      <c r="I418" s="39">
        <f t="shared" ref="I418:J418" si="164">I419+I421</f>
        <v>1180.9000000000001</v>
      </c>
      <c r="J418" s="39">
        <f t="shared" si="164"/>
        <v>1180.9000000000001</v>
      </c>
    </row>
    <row r="419" spans="1:10" ht="105.75" customHeight="1">
      <c r="A419" s="1"/>
      <c r="B419" s="25"/>
      <c r="C419" s="82" t="s">
        <v>96</v>
      </c>
      <c r="D419" s="82" t="s">
        <v>96</v>
      </c>
      <c r="E419" s="79">
        <v>430127310</v>
      </c>
      <c r="F419" s="16"/>
      <c r="G419" s="98" t="s">
        <v>633</v>
      </c>
      <c r="H419" s="41">
        <f>H420</f>
        <v>1418.5</v>
      </c>
      <c r="I419" s="41">
        <f>I420</f>
        <v>1000</v>
      </c>
      <c r="J419" s="41">
        <f>J420</f>
        <v>1000</v>
      </c>
    </row>
    <row r="420" spans="1:10" ht="63.75">
      <c r="A420" s="1"/>
      <c r="B420" s="25"/>
      <c r="C420" s="82" t="s">
        <v>96</v>
      </c>
      <c r="D420" s="82" t="s">
        <v>96</v>
      </c>
      <c r="E420" s="79">
        <v>430127310</v>
      </c>
      <c r="F420" s="16" t="s">
        <v>12</v>
      </c>
      <c r="G420" s="98" t="s">
        <v>324</v>
      </c>
      <c r="H420" s="41">
        <f>1000+339+79.5</f>
        <v>1418.5</v>
      </c>
      <c r="I420" s="41">
        <v>1000</v>
      </c>
      <c r="J420" s="41">
        <v>1000</v>
      </c>
    </row>
    <row r="421" spans="1:10" ht="102.75" customHeight="1">
      <c r="A421" s="1"/>
      <c r="B421" s="25"/>
      <c r="C421" s="82" t="s">
        <v>96</v>
      </c>
      <c r="D421" s="82" t="s">
        <v>96</v>
      </c>
      <c r="E421" s="79">
        <v>430127320</v>
      </c>
      <c r="F421" s="16"/>
      <c r="G421" s="98" t="s">
        <v>497</v>
      </c>
      <c r="H421" s="41">
        <f>H422</f>
        <v>145.60000000000002</v>
      </c>
      <c r="I421" s="41">
        <f t="shared" ref="I421:J421" si="165">I422</f>
        <v>180.9</v>
      </c>
      <c r="J421" s="41">
        <f t="shared" si="165"/>
        <v>180.9</v>
      </c>
    </row>
    <row r="422" spans="1:10" ht="63.75">
      <c r="A422" s="1"/>
      <c r="B422" s="25"/>
      <c r="C422" s="82" t="s">
        <v>96</v>
      </c>
      <c r="D422" s="82" t="s">
        <v>96</v>
      </c>
      <c r="E422" s="79">
        <v>430127320</v>
      </c>
      <c r="F422" s="16" t="s">
        <v>12</v>
      </c>
      <c r="G422" s="98" t="s">
        <v>324</v>
      </c>
      <c r="H422" s="41">
        <f>180.9-35.3</f>
        <v>145.60000000000002</v>
      </c>
      <c r="I422" s="41">
        <v>180.9</v>
      </c>
      <c r="J422" s="41">
        <v>180.9</v>
      </c>
    </row>
    <row r="423" spans="1:10" ht="15.75">
      <c r="A423" s="3"/>
      <c r="B423" s="91"/>
      <c r="C423" s="4" t="s">
        <v>111</v>
      </c>
      <c r="D423" s="3"/>
      <c r="E423" s="3"/>
      <c r="F423" s="3"/>
      <c r="G423" s="49" t="s">
        <v>112</v>
      </c>
      <c r="H423" s="92">
        <f>H424+H430+H440</f>
        <v>42975.5</v>
      </c>
      <c r="I423" s="92">
        <f>I424+I430+I440</f>
        <v>10567.3</v>
      </c>
      <c r="J423" s="92">
        <f>J424+J430+J440</f>
        <v>13970.5</v>
      </c>
    </row>
    <row r="424" spans="1:10" ht="15.75">
      <c r="A424" s="3"/>
      <c r="B424" s="91"/>
      <c r="C424" s="35" t="s">
        <v>111</v>
      </c>
      <c r="D424" s="35" t="s">
        <v>89</v>
      </c>
      <c r="E424" s="35"/>
      <c r="F424" s="35"/>
      <c r="G424" s="45" t="s">
        <v>113</v>
      </c>
      <c r="H424" s="42">
        <f t="shared" ref="H424:J425" si="166">H425</f>
        <v>2338.3000000000002</v>
      </c>
      <c r="I424" s="42">
        <f t="shared" si="166"/>
        <v>1585.3</v>
      </c>
      <c r="J424" s="42">
        <f t="shared" si="166"/>
        <v>1585.3</v>
      </c>
    </row>
    <row r="425" spans="1:10" ht="90">
      <c r="A425" s="3"/>
      <c r="B425" s="91"/>
      <c r="C425" s="5" t="s">
        <v>111</v>
      </c>
      <c r="D425" s="5" t="s">
        <v>89</v>
      </c>
      <c r="E425" s="73" t="s">
        <v>36</v>
      </c>
      <c r="F425" s="3"/>
      <c r="G425" s="142" t="s">
        <v>624</v>
      </c>
      <c r="H425" s="96">
        <f t="shared" si="166"/>
        <v>2338.3000000000002</v>
      </c>
      <c r="I425" s="96">
        <f t="shared" si="166"/>
        <v>1585.3</v>
      </c>
      <c r="J425" s="96">
        <f t="shared" si="166"/>
        <v>1585.3</v>
      </c>
    </row>
    <row r="426" spans="1:10" ht="26.25">
      <c r="A426" s="3"/>
      <c r="B426" s="91"/>
      <c r="C426" s="16" t="s">
        <v>111</v>
      </c>
      <c r="D426" s="16" t="s">
        <v>89</v>
      </c>
      <c r="E426" s="52" t="s">
        <v>38</v>
      </c>
      <c r="F426" s="3"/>
      <c r="G426" s="46" t="s">
        <v>81</v>
      </c>
      <c r="H426" s="93">
        <f>H428</f>
        <v>2338.3000000000002</v>
      </c>
      <c r="I426" s="93">
        <f t="shared" ref="I426:J426" si="167">I428</f>
        <v>1585.3</v>
      </c>
      <c r="J426" s="93">
        <f t="shared" si="167"/>
        <v>1585.3</v>
      </c>
    </row>
    <row r="427" spans="1:10" ht="39">
      <c r="A427" s="3"/>
      <c r="B427" s="91"/>
      <c r="C427" s="16" t="s">
        <v>111</v>
      </c>
      <c r="D427" s="16" t="s">
        <v>89</v>
      </c>
      <c r="E427" s="21" t="s">
        <v>281</v>
      </c>
      <c r="F427" s="3"/>
      <c r="G427" s="104" t="s">
        <v>738</v>
      </c>
      <c r="H427" s="39">
        <f t="shared" ref="H427:J428" si="168">H428</f>
        <v>2338.3000000000002</v>
      </c>
      <c r="I427" s="39">
        <f t="shared" si="168"/>
        <v>1585.3</v>
      </c>
      <c r="J427" s="39">
        <f t="shared" si="168"/>
        <v>1585.3</v>
      </c>
    </row>
    <row r="428" spans="1:10" ht="26.25">
      <c r="A428" s="3"/>
      <c r="B428" s="91"/>
      <c r="C428" s="16" t="s">
        <v>111</v>
      </c>
      <c r="D428" s="16" t="s">
        <v>89</v>
      </c>
      <c r="E428" s="79">
        <v>1320225100</v>
      </c>
      <c r="F428" s="3"/>
      <c r="G428" s="99" t="s">
        <v>369</v>
      </c>
      <c r="H428" s="41">
        <f t="shared" si="168"/>
        <v>2338.3000000000002</v>
      </c>
      <c r="I428" s="41">
        <f t="shared" si="168"/>
        <v>1585.3</v>
      </c>
      <c r="J428" s="41">
        <f t="shared" si="168"/>
        <v>1585.3</v>
      </c>
    </row>
    <row r="429" spans="1:10" ht="25.5">
      <c r="A429" s="3"/>
      <c r="B429" s="91"/>
      <c r="C429" s="16" t="s">
        <v>111</v>
      </c>
      <c r="D429" s="16" t="s">
        <v>89</v>
      </c>
      <c r="E429" s="79">
        <v>1320225100</v>
      </c>
      <c r="F429" s="82" t="s">
        <v>282</v>
      </c>
      <c r="G429" s="98" t="s">
        <v>283</v>
      </c>
      <c r="H429" s="39">
        <f>1585.3+753</f>
        <v>2338.3000000000002</v>
      </c>
      <c r="I429" s="39">
        <v>1585.3</v>
      </c>
      <c r="J429" s="39">
        <v>1585.3</v>
      </c>
    </row>
    <row r="430" spans="1:10" ht="15.75">
      <c r="A430" s="3"/>
      <c r="B430" s="91"/>
      <c r="C430" s="35" t="s">
        <v>111</v>
      </c>
      <c r="D430" s="35" t="s">
        <v>94</v>
      </c>
      <c r="E430" s="35"/>
      <c r="F430" s="35"/>
      <c r="G430" s="45" t="s">
        <v>117</v>
      </c>
      <c r="H430" s="42">
        <f>H431+H436</f>
        <v>738</v>
      </c>
      <c r="I430" s="42">
        <f t="shared" ref="I430:J430" si="169">I431+I436</f>
        <v>638</v>
      </c>
      <c r="J430" s="42">
        <f t="shared" si="169"/>
        <v>638</v>
      </c>
    </row>
    <row r="431" spans="1:10" ht="90">
      <c r="A431" s="3"/>
      <c r="B431" s="91"/>
      <c r="C431" s="5" t="s">
        <v>111</v>
      </c>
      <c r="D431" s="5" t="s">
        <v>94</v>
      </c>
      <c r="E431" s="73" t="s">
        <v>36</v>
      </c>
      <c r="F431" s="3"/>
      <c r="G431" s="142" t="s">
        <v>624</v>
      </c>
      <c r="H431" s="59">
        <f t="shared" ref="H431:J431" si="170">H432</f>
        <v>688</v>
      </c>
      <c r="I431" s="59">
        <f t="shared" si="170"/>
        <v>638</v>
      </c>
      <c r="J431" s="59">
        <f t="shared" si="170"/>
        <v>638</v>
      </c>
    </row>
    <row r="432" spans="1:10" ht="26.25">
      <c r="A432" s="3"/>
      <c r="B432" s="91"/>
      <c r="C432" s="47" t="s">
        <v>111</v>
      </c>
      <c r="D432" s="47" t="s">
        <v>94</v>
      </c>
      <c r="E432" s="52" t="s">
        <v>38</v>
      </c>
      <c r="F432" s="16"/>
      <c r="G432" s="46" t="s">
        <v>81</v>
      </c>
      <c r="H432" s="93">
        <f>H434</f>
        <v>688</v>
      </c>
      <c r="I432" s="93">
        <f t="shared" ref="I432:J432" si="171">I434</f>
        <v>638</v>
      </c>
      <c r="J432" s="93">
        <f t="shared" si="171"/>
        <v>638</v>
      </c>
    </row>
    <row r="433" spans="1:10" ht="51.75">
      <c r="A433" s="3"/>
      <c r="B433" s="91"/>
      <c r="C433" s="16" t="s">
        <v>111</v>
      </c>
      <c r="D433" s="16" t="s">
        <v>94</v>
      </c>
      <c r="E433" s="21" t="s">
        <v>281</v>
      </c>
      <c r="F433" s="16"/>
      <c r="G433" s="104" t="s">
        <v>304</v>
      </c>
      <c r="H433" s="41">
        <f t="shared" ref="H433:J434" si="172">H434</f>
        <v>688</v>
      </c>
      <c r="I433" s="41">
        <f t="shared" si="172"/>
        <v>638</v>
      </c>
      <c r="J433" s="41">
        <f t="shared" si="172"/>
        <v>638</v>
      </c>
    </row>
    <row r="434" spans="1:10" ht="63.75">
      <c r="A434" s="3"/>
      <c r="B434" s="91"/>
      <c r="C434" s="16" t="s">
        <v>111</v>
      </c>
      <c r="D434" s="16" t="s">
        <v>94</v>
      </c>
      <c r="E434" s="79">
        <v>1320127100</v>
      </c>
      <c r="F434" s="16"/>
      <c r="G434" s="98" t="s">
        <v>3</v>
      </c>
      <c r="H434" s="41">
        <f t="shared" si="172"/>
        <v>688</v>
      </c>
      <c r="I434" s="41">
        <f t="shared" si="172"/>
        <v>638</v>
      </c>
      <c r="J434" s="41">
        <f t="shared" si="172"/>
        <v>638</v>
      </c>
    </row>
    <row r="435" spans="1:10" ht="77.25">
      <c r="A435" s="3"/>
      <c r="B435" s="91"/>
      <c r="C435" s="16" t="s">
        <v>111</v>
      </c>
      <c r="D435" s="16" t="s">
        <v>94</v>
      </c>
      <c r="E435" s="79">
        <v>1320127100</v>
      </c>
      <c r="F435" s="16" t="s">
        <v>19</v>
      </c>
      <c r="G435" s="99" t="s">
        <v>367</v>
      </c>
      <c r="H435" s="41">
        <v>688</v>
      </c>
      <c r="I435" s="41">
        <v>638</v>
      </c>
      <c r="J435" s="41">
        <v>638</v>
      </c>
    </row>
    <row r="436" spans="1:10" ht="25.5">
      <c r="A436" s="3"/>
      <c r="B436" s="91"/>
      <c r="C436" s="5" t="s">
        <v>111</v>
      </c>
      <c r="D436" s="5" t="s">
        <v>94</v>
      </c>
      <c r="E436" s="83">
        <v>9900000000</v>
      </c>
      <c r="F436" s="5"/>
      <c r="G436" s="84" t="s">
        <v>145</v>
      </c>
      <c r="H436" s="62">
        <f>H437</f>
        <v>50</v>
      </c>
      <c r="I436" s="62">
        <f t="shared" ref="I436:J436" si="173">I437</f>
        <v>0</v>
      </c>
      <c r="J436" s="62">
        <f t="shared" si="173"/>
        <v>0</v>
      </c>
    </row>
    <row r="437" spans="1:10" ht="15.75">
      <c r="A437" s="3"/>
      <c r="B437" s="91"/>
      <c r="C437" s="16" t="s">
        <v>111</v>
      </c>
      <c r="D437" s="16" t="s">
        <v>94</v>
      </c>
      <c r="E437" s="79">
        <v>9920000000</v>
      </c>
      <c r="F437" s="35"/>
      <c r="G437" s="126" t="s">
        <v>5</v>
      </c>
      <c r="H437" s="94">
        <f t="shared" ref="H437:J438" si="174">H438</f>
        <v>50</v>
      </c>
      <c r="I437" s="94">
        <f t="shared" si="174"/>
        <v>0</v>
      </c>
      <c r="J437" s="94">
        <f t="shared" si="174"/>
        <v>0</v>
      </c>
    </row>
    <row r="438" spans="1:10" ht="26.25">
      <c r="A438" s="3"/>
      <c r="B438" s="91"/>
      <c r="C438" s="16" t="s">
        <v>111</v>
      </c>
      <c r="D438" s="16" t="s">
        <v>94</v>
      </c>
      <c r="E438" s="79">
        <v>9920026100</v>
      </c>
      <c r="F438" s="21"/>
      <c r="G438" s="99" t="s">
        <v>11</v>
      </c>
      <c r="H438" s="39">
        <f t="shared" si="174"/>
        <v>50</v>
      </c>
      <c r="I438" s="39">
        <f t="shared" si="174"/>
        <v>0</v>
      </c>
      <c r="J438" s="39">
        <f t="shared" si="174"/>
        <v>0</v>
      </c>
    </row>
    <row r="439" spans="1:10" ht="15.75">
      <c r="A439" s="3"/>
      <c r="B439" s="91"/>
      <c r="C439" s="16" t="s">
        <v>111</v>
      </c>
      <c r="D439" s="16" t="s">
        <v>94</v>
      </c>
      <c r="E439" s="79">
        <v>9920026100</v>
      </c>
      <c r="F439" s="82" t="s">
        <v>82</v>
      </c>
      <c r="G439" s="98" t="s">
        <v>83</v>
      </c>
      <c r="H439" s="39">
        <v>50</v>
      </c>
      <c r="I439" s="39">
        <v>0</v>
      </c>
      <c r="J439" s="39">
        <v>0</v>
      </c>
    </row>
    <row r="440" spans="1:10" ht="14.25">
      <c r="A440" s="1"/>
      <c r="B440" s="25"/>
      <c r="C440" s="35" t="s">
        <v>111</v>
      </c>
      <c r="D440" s="35" t="s">
        <v>95</v>
      </c>
      <c r="E440" s="35"/>
      <c r="F440" s="38"/>
      <c r="G440" s="50" t="s">
        <v>13</v>
      </c>
      <c r="H440" s="40">
        <f t="shared" ref="H440:J441" si="175">H441</f>
        <v>39899.199999999997</v>
      </c>
      <c r="I440" s="40">
        <f t="shared" si="175"/>
        <v>8344</v>
      </c>
      <c r="J440" s="40">
        <f t="shared" si="175"/>
        <v>11747.199999999999</v>
      </c>
    </row>
    <row r="441" spans="1:10" ht="90">
      <c r="A441" s="1"/>
      <c r="B441" s="25"/>
      <c r="C441" s="5" t="s">
        <v>111</v>
      </c>
      <c r="D441" s="5" t="s">
        <v>95</v>
      </c>
      <c r="E441" s="73" t="s">
        <v>36</v>
      </c>
      <c r="F441" s="3"/>
      <c r="G441" s="142" t="s">
        <v>624</v>
      </c>
      <c r="H441" s="96">
        <f t="shared" si="175"/>
        <v>39899.199999999997</v>
      </c>
      <c r="I441" s="96">
        <f t="shared" si="175"/>
        <v>8344</v>
      </c>
      <c r="J441" s="96">
        <f t="shared" si="175"/>
        <v>11747.199999999999</v>
      </c>
    </row>
    <row r="442" spans="1:10" ht="25.5">
      <c r="A442" s="1"/>
      <c r="B442" s="25"/>
      <c r="C442" s="47" t="s">
        <v>111</v>
      </c>
      <c r="D442" s="47" t="s">
        <v>95</v>
      </c>
      <c r="E442" s="52" t="s">
        <v>37</v>
      </c>
      <c r="F442" s="35"/>
      <c r="G442" s="46" t="s">
        <v>84</v>
      </c>
      <c r="H442" s="93">
        <f>H443+H448+H453</f>
        <v>39899.199999999997</v>
      </c>
      <c r="I442" s="93">
        <f t="shared" ref="I442:J442" si="176">I443+I448+I453</f>
        <v>8344</v>
      </c>
      <c r="J442" s="93">
        <f t="shared" si="176"/>
        <v>11747.199999999999</v>
      </c>
    </row>
    <row r="443" spans="1:10" ht="39">
      <c r="A443" s="1"/>
      <c r="B443" s="25"/>
      <c r="C443" s="16" t="s">
        <v>111</v>
      </c>
      <c r="D443" s="16" t="s">
        <v>95</v>
      </c>
      <c r="E443" s="21" t="s">
        <v>278</v>
      </c>
      <c r="F443" s="3"/>
      <c r="G443" s="104" t="s">
        <v>279</v>
      </c>
      <c r="H443" s="41">
        <f>H444+H446</f>
        <v>3431.1000000000004</v>
      </c>
      <c r="I443" s="41">
        <f t="shared" ref="I443:J443" si="177">I444+I446</f>
        <v>686.2</v>
      </c>
      <c r="J443" s="41">
        <f t="shared" si="177"/>
        <v>857.8</v>
      </c>
    </row>
    <row r="444" spans="1:10" ht="39">
      <c r="A444" s="1"/>
      <c r="B444" s="25"/>
      <c r="C444" s="16" t="s">
        <v>111</v>
      </c>
      <c r="D444" s="16" t="s">
        <v>95</v>
      </c>
      <c r="E444" s="21" t="s">
        <v>309</v>
      </c>
      <c r="F444" s="3"/>
      <c r="G444" s="128" t="s">
        <v>203</v>
      </c>
      <c r="H444" s="41">
        <f t="shared" ref="H444:J444" si="178">H445</f>
        <v>686.2</v>
      </c>
      <c r="I444" s="41">
        <f t="shared" si="178"/>
        <v>686.2</v>
      </c>
      <c r="J444" s="41">
        <f t="shared" si="178"/>
        <v>857.8</v>
      </c>
    </row>
    <row r="445" spans="1:10">
      <c r="A445" s="1"/>
      <c r="B445" s="25"/>
      <c r="C445" s="16" t="s">
        <v>111</v>
      </c>
      <c r="D445" s="16" t="s">
        <v>95</v>
      </c>
      <c r="E445" s="21" t="s">
        <v>309</v>
      </c>
      <c r="F445" s="82" t="s">
        <v>251</v>
      </c>
      <c r="G445" s="102" t="s">
        <v>250</v>
      </c>
      <c r="H445" s="41">
        <v>686.2</v>
      </c>
      <c r="I445" s="41">
        <v>686.2</v>
      </c>
      <c r="J445" s="41">
        <v>857.8</v>
      </c>
    </row>
    <row r="446" spans="1:10" ht="38.25">
      <c r="A446" s="1"/>
      <c r="B446" s="25"/>
      <c r="C446" s="16" t="s">
        <v>111</v>
      </c>
      <c r="D446" s="16" t="s">
        <v>95</v>
      </c>
      <c r="E446" s="21" t="s">
        <v>713</v>
      </c>
      <c r="F446" s="82"/>
      <c r="G446" s="124" t="s">
        <v>714</v>
      </c>
      <c r="H446" s="41">
        <f>H447</f>
        <v>2744.9</v>
      </c>
      <c r="I446" s="41">
        <f t="shared" ref="I446:J446" si="179">I447</f>
        <v>0</v>
      </c>
      <c r="J446" s="41">
        <f t="shared" si="179"/>
        <v>0</v>
      </c>
    </row>
    <row r="447" spans="1:10">
      <c r="A447" s="1"/>
      <c r="B447" s="25"/>
      <c r="C447" s="16" t="s">
        <v>111</v>
      </c>
      <c r="D447" s="16" t="s">
        <v>95</v>
      </c>
      <c r="E447" s="21" t="s">
        <v>713</v>
      </c>
      <c r="F447" s="82" t="s">
        <v>251</v>
      </c>
      <c r="G447" s="102" t="s">
        <v>250</v>
      </c>
      <c r="H447" s="41">
        <v>2744.9</v>
      </c>
      <c r="I447" s="41">
        <v>0</v>
      </c>
      <c r="J447" s="41">
        <v>0</v>
      </c>
    </row>
    <row r="448" spans="1:10" ht="89.25">
      <c r="A448" s="1"/>
      <c r="B448" s="25"/>
      <c r="C448" s="16" t="s">
        <v>111</v>
      </c>
      <c r="D448" s="16" t="s">
        <v>95</v>
      </c>
      <c r="E448" s="21" t="s">
        <v>280</v>
      </c>
      <c r="F448" s="35"/>
      <c r="G448" s="97" t="s">
        <v>598</v>
      </c>
      <c r="H448" s="39">
        <f t="shared" ref="H448:I448" si="180">H449+H451</f>
        <v>22416.6</v>
      </c>
      <c r="I448" s="39">
        <f t="shared" si="180"/>
        <v>4803.6000000000004</v>
      </c>
      <c r="J448" s="39">
        <f t="shared" ref="J448" si="181">J449+J451</f>
        <v>8005.9</v>
      </c>
    </row>
    <row r="449" spans="1:10" ht="51">
      <c r="A449" s="1"/>
      <c r="B449" s="25"/>
      <c r="C449" s="16" t="s">
        <v>111</v>
      </c>
      <c r="D449" s="16" t="s">
        <v>95</v>
      </c>
      <c r="E449" s="79">
        <v>1310210820</v>
      </c>
      <c r="F449" s="16"/>
      <c r="G449" s="98" t="s">
        <v>169</v>
      </c>
      <c r="H449" s="39">
        <f>H450</f>
        <v>14410.7</v>
      </c>
      <c r="I449" s="39">
        <f>I450</f>
        <v>0</v>
      </c>
      <c r="J449" s="39">
        <f>J450</f>
        <v>0</v>
      </c>
    </row>
    <row r="450" spans="1:10">
      <c r="A450" s="1"/>
      <c r="B450" s="25"/>
      <c r="C450" s="16" t="s">
        <v>111</v>
      </c>
      <c r="D450" s="16" t="s">
        <v>95</v>
      </c>
      <c r="E450" s="79">
        <v>1310210820</v>
      </c>
      <c r="F450" s="82" t="s">
        <v>251</v>
      </c>
      <c r="G450" s="102" t="s">
        <v>250</v>
      </c>
      <c r="H450" s="39">
        <f>4803.6+9607.1</f>
        <v>14410.7</v>
      </c>
      <c r="I450" s="39">
        <v>0</v>
      </c>
      <c r="J450" s="39">
        <v>0</v>
      </c>
    </row>
    <row r="451" spans="1:10" ht="38.25">
      <c r="A451" s="1"/>
      <c r="B451" s="25"/>
      <c r="C451" s="16" t="s">
        <v>111</v>
      </c>
      <c r="D451" s="16" t="s">
        <v>95</v>
      </c>
      <c r="E451" s="79" t="s">
        <v>342</v>
      </c>
      <c r="F451" s="16"/>
      <c r="G451" s="98" t="s">
        <v>316</v>
      </c>
      <c r="H451" s="39">
        <f>H452</f>
        <v>8005.9</v>
      </c>
      <c r="I451" s="39">
        <f>I452</f>
        <v>4803.6000000000004</v>
      </c>
      <c r="J451" s="39">
        <f>J452</f>
        <v>8005.9</v>
      </c>
    </row>
    <row r="452" spans="1:10">
      <c r="A452" s="1"/>
      <c r="B452" s="25"/>
      <c r="C452" s="16" t="s">
        <v>111</v>
      </c>
      <c r="D452" s="16" t="s">
        <v>95</v>
      </c>
      <c r="E452" s="79" t="s">
        <v>342</v>
      </c>
      <c r="F452" s="82" t="s">
        <v>251</v>
      </c>
      <c r="G452" s="102" t="s">
        <v>250</v>
      </c>
      <c r="H452" s="39">
        <f>17613-9607.1</f>
        <v>8005.9</v>
      </c>
      <c r="I452" s="39">
        <v>4803.6000000000004</v>
      </c>
      <c r="J452" s="39">
        <v>8005.9</v>
      </c>
    </row>
    <row r="453" spans="1:10" ht="27" customHeight="1">
      <c r="A453" s="1"/>
      <c r="B453" s="25"/>
      <c r="C453" s="16" t="s">
        <v>111</v>
      </c>
      <c r="D453" s="16" t="s">
        <v>95</v>
      </c>
      <c r="E453" s="21" t="s">
        <v>303</v>
      </c>
      <c r="F453" s="82"/>
      <c r="G453" s="104" t="s">
        <v>675</v>
      </c>
      <c r="H453" s="41">
        <f t="shared" ref="H453:J454" si="182">H454</f>
        <v>14051.5</v>
      </c>
      <c r="I453" s="41">
        <f t="shared" si="182"/>
        <v>2854.2000000000003</v>
      </c>
      <c r="J453" s="41">
        <f t="shared" si="182"/>
        <v>2883.5</v>
      </c>
    </row>
    <row r="454" spans="1:10" ht="51">
      <c r="A454" s="1"/>
      <c r="B454" s="25"/>
      <c r="C454" s="16" t="s">
        <v>111</v>
      </c>
      <c r="D454" s="16" t="s">
        <v>95</v>
      </c>
      <c r="E454" s="74" t="s">
        <v>336</v>
      </c>
      <c r="F454" s="16"/>
      <c r="G454" s="98" t="s">
        <v>323</v>
      </c>
      <c r="H454" s="94">
        <f t="shared" si="182"/>
        <v>14051.5</v>
      </c>
      <c r="I454" s="94">
        <f t="shared" si="182"/>
        <v>2854.2000000000003</v>
      </c>
      <c r="J454" s="94">
        <f t="shared" si="182"/>
        <v>2883.5</v>
      </c>
    </row>
    <row r="455" spans="1:10" ht="38.25">
      <c r="A455" s="1"/>
      <c r="B455" s="25"/>
      <c r="C455" s="16" t="s">
        <v>111</v>
      </c>
      <c r="D455" s="16" t="s">
        <v>95</v>
      </c>
      <c r="E455" s="74" t="s">
        <v>336</v>
      </c>
      <c r="F455" s="82" t="s">
        <v>263</v>
      </c>
      <c r="G455" s="98" t="s">
        <v>252</v>
      </c>
      <c r="H455" s="94">
        <f>2810.3+11241.2</f>
        <v>14051.5</v>
      </c>
      <c r="I455" s="94">
        <f>2810.3+43.9</f>
        <v>2854.2000000000003</v>
      </c>
      <c r="J455" s="94">
        <v>2883.5</v>
      </c>
    </row>
    <row r="456" spans="1:10" ht="16.5" customHeight="1">
      <c r="A456" s="1"/>
      <c r="B456" s="25"/>
      <c r="C456" s="4" t="s">
        <v>123</v>
      </c>
      <c r="D456" s="3"/>
      <c r="E456" s="3"/>
      <c r="F456" s="3"/>
      <c r="G456" s="49" t="s">
        <v>8</v>
      </c>
      <c r="H456" s="92">
        <f t="shared" ref="H456:J456" si="183">H457</f>
        <v>3836.5</v>
      </c>
      <c r="I456" s="92">
        <f t="shared" si="183"/>
        <v>3536.5</v>
      </c>
      <c r="J456" s="92">
        <f t="shared" si="183"/>
        <v>3536.5</v>
      </c>
    </row>
    <row r="457" spans="1:10" ht="28.5">
      <c r="A457" s="1"/>
      <c r="B457" s="25"/>
      <c r="C457" s="35" t="s">
        <v>123</v>
      </c>
      <c r="D457" s="35" t="s">
        <v>95</v>
      </c>
      <c r="E457" s="35"/>
      <c r="F457" s="35"/>
      <c r="G457" s="50" t="s">
        <v>14</v>
      </c>
      <c r="H457" s="40">
        <f t="shared" ref="H457" si="184">H459</f>
        <v>3836.5</v>
      </c>
      <c r="I457" s="40">
        <f t="shared" ref="I457:J457" si="185">I459</f>
        <v>3536.5</v>
      </c>
      <c r="J457" s="40">
        <f t="shared" si="185"/>
        <v>3536.5</v>
      </c>
    </row>
    <row r="458" spans="1:10" ht="89.25">
      <c r="A458" s="1"/>
      <c r="B458" s="25"/>
      <c r="C458" s="16" t="s">
        <v>123</v>
      </c>
      <c r="D458" s="16" t="s">
        <v>95</v>
      </c>
      <c r="E458" s="74">
        <v>400000000</v>
      </c>
      <c r="F458" s="30"/>
      <c r="G458" s="142" t="s">
        <v>614</v>
      </c>
      <c r="H458" s="96">
        <f t="shared" ref="H458:J458" si="186">H459</f>
        <v>3836.5</v>
      </c>
      <c r="I458" s="96">
        <f t="shared" si="186"/>
        <v>3536.5</v>
      </c>
      <c r="J458" s="96">
        <f t="shared" si="186"/>
        <v>3536.5</v>
      </c>
    </row>
    <row r="459" spans="1:10" ht="51">
      <c r="A459" s="1"/>
      <c r="B459" s="25"/>
      <c r="C459" s="47" t="s">
        <v>123</v>
      </c>
      <c r="D459" s="47" t="s">
        <v>95</v>
      </c>
      <c r="E459" s="75">
        <v>420000000</v>
      </c>
      <c r="F459" s="30"/>
      <c r="G459" s="46" t="s">
        <v>233</v>
      </c>
      <c r="H459" s="93">
        <f>H460+H467</f>
        <v>3836.5</v>
      </c>
      <c r="I459" s="93">
        <f>I460+I467</f>
        <v>3536.5</v>
      </c>
      <c r="J459" s="93">
        <f>J460+J467</f>
        <v>3536.5</v>
      </c>
    </row>
    <row r="460" spans="1:10" ht="117" customHeight="1">
      <c r="A460" s="1"/>
      <c r="B460" s="25"/>
      <c r="C460" s="16" t="s">
        <v>123</v>
      </c>
      <c r="D460" s="16" t="s">
        <v>95</v>
      </c>
      <c r="E460" s="74">
        <v>420100000</v>
      </c>
      <c r="F460" s="16"/>
      <c r="G460" s="97" t="s">
        <v>491</v>
      </c>
      <c r="H460" s="41">
        <f>H461+H463+H465</f>
        <v>2824.4</v>
      </c>
      <c r="I460" s="41">
        <f>I461+I463+I465</f>
        <v>2524.4</v>
      </c>
      <c r="J460" s="41">
        <f>J461+J463+J465</f>
        <v>2524.4</v>
      </c>
    </row>
    <row r="461" spans="1:10" ht="51">
      <c r="A461" s="1"/>
      <c r="B461" s="25"/>
      <c r="C461" s="16" t="s">
        <v>123</v>
      </c>
      <c r="D461" s="16" t="s">
        <v>95</v>
      </c>
      <c r="E461" s="74" t="s">
        <v>492</v>
      </c>
      <c r="F461" s="16"/>
      <c r="G461" s="98" t="s">
        <v>359</v>
      </c>
      <c r="H461" s="41">
        <f>H462</f>
        <v>600</v>
      </c>
      <c r="I461" s="41">
        <f t="shared" ref="I461:J461" si="187">I462</f>
        <v>300</v>
      </c>
      <c r="J461" s="41">
        <f t="shared" si="187"/>
        <v>300</v>
      </c>
    </row>
    <row r="462" spans="1:10" ht="76.5">
      <c r="A462" s="1"/>
      <c r="B462" s="25"/>
      <c r="C462" s="16" t="s">
        <v>123</v>
      </c>
      <c r="D462" s="16" t="s">
        <v>95</v>
      </c>
      <c r="E462" s="74" t="s">
        <v>492</v>
      </c>
      <c r="F462" s="16" t="s">
        <v>19</v>
      </c>
      <c r="G462" s="99" t="s">
        <v>367</v>
      </c>
      <c r="H462" s="41">
        <v>600</v>
      </c>
      <c r="I462" s="41">
        <v>300</v>
      </c>
      <c r="J462" s="41">
        <v>300</v>
      </c>
    </row>
    <row r="463" spans="1:10" ht="63.75">
      <c r="A463" s="1"/>
      <c r="B463" s="25"/>
      <c r="C463" s="16" t="s">
        <v>123</v>
      </c>
      <c r="D463" s="16" t="s">
        <v>95</v>
      </c>
      <c r="E463" s="74">
        <v>420123230</v>
      </c>
      <c r="F463" s="16"/>
      <c r="G463" s="99" t="s">
        <v>764</v>
      </c>
      <c r="H463" s="41">
        <f>H464</f>
        <v>1300</v>
      </c>
      <c r="I463" s="41">
        <f t="shared" ref="I463:J463" si="188">I464</f>
        <v>1300</v>
      </c>
      <c r="J463" s="41">
        <f t="shared" si="188"/>
        <v>1300</v>
      </c>
    </row>
    <row r="464" spans="1:10" ht="38.25">
      <c r="A464" s="1"/>
      <c r="B464" s="25"/>
      <c r="C464" s="16" t="s">
        <v>123</v>
      </c>
      <c r="D464" s="16" t="s">
        <v>95</v>
      </c>
      <c r="E464" s="74">
        <v>420123230</v>
      </c>
      <c r="F464" s="82" t="s">
        <v>212</v>
      </c>
      <c r="G464" s="98" t="s">
        <v>213</v>
      </c>
      <c r="H464" s="41">
        <f>1200+100</f>
        <v>1300</v>
      </c>
      <c r="I464" s="41">
        <v>1300</v>
      </c>
      <c r="J464" s="41">
        <v>1300</v>
      </c>
    </row>
    <row r="465" spans="1:10" ht="38.25">
      <c r="A465" s="1"/>
      <c r="B465" s="25"/>
      <c r="C465" s="16" t="s">
        <v>123</v>
      </c>
      <c r="D465" s="16" t="s">
        <v>95</v>
      </c>
      <c r="E465" s="74">
        <v>420110320</v>
      </c>
      <c r="F465" s="1"/>
      <c r="G465" s="135" t="s">
        <v>493</v>
      </c>
      <c r="H465" s="41">
        <f>H466</f>
        <v>924.4</v>
      </c>
      <c r="I465" s="41">
        <f t="shared" ref="I465:J465" si="189">I466</f>
        <v>924.4</v>
      </c>
      <c r="J465" s="41">
        <f t="shared" si="189"/>
        <v>924.4</v>
      </c>
    </row>
    <row r="466" spans="1:10" ht="76.5">
      <c r="A466" s="1"/>
      <c r="B466" s="25"/>
      <c r="C466" s="16" t="s">
        <v>123</v>
      </c>
      <c r="D466" s="16" t="s">
        <v>95</v>
      </c>
      <c r="E466" s="74">
        <v>420110320</v>
      </c>
      <c r="F466" s="16" t="s">
        <v>19</v>
      </c>
      <c r="G466" s="99" t="s">
        <v>367</v>
      </c>
      <c r="H466" s="41">
        <f>895.5+28.9</f>
        <v>924.4</v>
      </c>
      <c r="I466" s="41">
        <f t="shared" ref="I466:J466" si="190">895.5+28.9</f>
        <v>924.4</v>
      </c>
      <c r="J466" s="41">
        <f t="shared" si="190"/>
        <v>924.4</v>
      </c>
    </row>
    <row r="467" spans="1:10" ht="127.5">
      <c r="A467" s="1"/>
      <c r="B467" s="25"/>
      <c r="C467" s="16" t="s">
        <v>123</v>
      </c>
      <c r="D467" s="16" t="s">
        <v>95</v>
      </c>
      <c r="E467" s="74">
        <v>420200000</v>
      </c>
      <c r="F467" s="16"/>
      <c r="G467" s="97" t="s">
        <v>494</v>
      </c>
      <c r="H467" s="41">
        <f>H468+H470</f>
        <v>1012.0999999999999</v>
      </c>
      <c r="I467" s="41">
        <f t="shared" ref="I467:J467" si="191">I468+I470</f>
        <v>1012.0999999999999</v>
      </c>
      <c r="J467" s="41">
        <f t="shared" si="191"/>
        <v>1012.0999999999999</v>
      </c>
    </row>
    <row r="468" spans="1:10" ht="69.75" customHeight="1">
      <c r="A468" s="1"/>
      <c r="B468" s="25"/>
      <c r="C468" s="16" t="s">
        <v>123</v>
      </c>
      <c r="D468" s="16" t="s">
        <v>95</v>
      </c>
      <c r="E468" s="74">
        <v>420223235</v>
      </c>
      <c r="F468" s="30"/>
      <c r="G468" s="98" t="s">
        <v>765</v>
      </c>
      <c r="H468" s="41">
        <f>H469</f>
        <v>575.29999999999995</v>
      </c>
      <c r="I468" s="41">
        <f>I469</f>
        <v>575.29999999999995</v>
      </c>
      <c r="J468" s="41">
        <f>J469</f>
        <v>575.29999999999995</v>
      </c>
    </row>
    <row r="469" spans="1:10" ht="38.25">
      <c r="A469" s="1"/>
      <c r="B469" s="25"/>
      <c r="C469" s="16" t="s">
        <v>123</v>
      </c>
      <c r="D469" s="16" t="s">
        <v>95</v>
      </c>
      <c r="E469" s="74">
        <v>420223235</v>
      </c>
      <c r="F469" s="82" t="s">
        <v>212</v>
      </c>
      <c r="G469" s="98" t="s">
        <v>213</v>
      </c>
      <c r="H469" s="41">
        <v>575.29999999999995</v>
      </c>
      <c r="I469" s="41">
        <v>575.29999999999995</v>
      </c>
      <c r="J469" s="41">
        <v>575.29999999999995</v>
      </c>
    </row>
    <row r="470" spans="1:10" ht="63.75">
      <c r="A470" s="1"/>
      <c r="B470" s="25"/>
      <c r="C470" s="16" t="s">
        <v>123</v>
      </c>
      <c r="D470" s="16" t="s">
        <v>95</v>
      </c>
      <c r="E470" s="74">
        <v>420223240</v>
      </c>
      <c r="F470" s="82"/>
      <c r="G470" s="98" t="s">
        <v>766</v>
      </c>
      <c r="H470" s="41">
        <f>H471</f>
        <v>436.8</v>
      </c>
      <c r="I470" s="41">
        <f t="shared" ref="I470:J470" si="192">I471</f>
        <v>436.8</v>
      </c>
      <c r="J470" s="41">
        <f t="shared" si="192"/>
        <v>436.8</v>
      </c>
    </row>
    <row r="471" spans="1:10" ht="38.25">
      <c r="A471" s="1"/>
      <c r="B471" s="25"/>
      <c r="C471" s="16" t="s">
        <v>123</v>
      </c>
      <c r="D471" s="16" t="s">
        <v>95</v>
      </c>
      <c r="E471" s="74">
        <v>420223240</v>
      </c>
      <c r="F471" s="82" t="s">
        <v>212</v>
      </c>
      <c r="G471" s="98" t="s">
        <v>213</v>
      </c>
      <c r="H471" s="41">
        <v>436.8</v>
      </c>
      <c r="I471" s="41">
        <v>436.8</v>
      </c>
      <c r="J471" s="41">
        <v>436.8</v>
      </c>
    </row>
    <row r="472" spans="1:10" s="8" customFormat="1" ht="90">
      <c r="A472" s="3">
        <v>4</v>
      </c>
      <c r="B472" s="91">
        <v>929</v>
      </c>
      <c r="C472" s="13"/>
      <c r="D472" s="13"/>
      <c r="E472" s="13"/>
      <c r="F472" s="13"/>
      <c r="G472" s="14" t="s">
        <v>208</v>
      </c>
      <c r="H472" s="59">
        <f>H473+H611</f>
        <v>645664.29999999993</v>
      </c>
      <c r="I472" s="59">
        <f>I473+I611</f>
        <v>613999.89999999991</v>
      </c>
      <c r="J472" s="59">
        <f>J473+J611</f>
        <v>603835.5</v>
      </c>
    </row>
    <row r="473" spans="1:10" ht="15.75">
      <c r="A473" s="3"/>
      <c r="B473" s="91"/>
      <c r="C473" s="4" t="s">
        <v>105</v>
      </c>
      <c r="D473" s="3"/>
      <c r="E473" s="3"/>
      <c r="F473" s="3"/>
      <c r="G473" s="49" t="s">
        <v>106</v>
      </c>
      <c r="H473" s="59">
        <f>H474+H491+H537+H567+H573</f>
        <v>631444.19999999995</v>
      </c>
      <c r="I473" s="59">
        <f>I474+I491+I537+I567+I573</f>
        <v>599779.79999999993</v>
      </c>
      <c r="J473" s="59">
        <f>J474+J491+J537+J567+J573</f>
        <v>589615.4</v>
      </c>
    </row>
    <row r="474" spans="1:10" s="37" customFormat="1" ht="14.25">
      <c r="A474" s="27"/>
      <c r="B474" s="70"/>
      <c r="C474" s="35" t="s">
        <v>105</v>
      </c>
      <c r="D474" s="35" t="s">
        <v>89</v>
      </c>
      <c r="E474" s="35"/>
      <c r="F474" s="35"/>
      <c r="G474" s="45" t="s">
        <v>108</v>
      </c>
      <c r="H474" s="58">
        <f>H475</f>
        <v>166434.59999999998</v>
      </c>
      <c r="I474" s="58">
        <f t="shared" ref="I474:J474" si="193">I475</f>
        <v>159972.80000000002</v>
      </c>
      <c r="J474" s="58">
        <f t="shared" si="193"/>
        <v>159595.70000000001</v>
      </c>
    </row>
    <row r="475" spans="1:10" s="37" customFormat="1" ht="76.5">
      <c r="A475" s="27"/>
      <c r="B475" s="70"/>
      <c r="C475" s="16" t="s">
        <v>105</v>
      </c>
      <c r="D475" s="16" t="s">
        <v>89</v>
      </c>
      <c r="E475" s="21" t="s">
        <v>74</v>
      </c>
      <c r="F475" s="35"/>
      <c r="G475" s="64" t="s">
        <v>610</v>
      </c>
      <c r="H475" s="62">
        <f t="shared" ref="H475:J475" si="194">H476</f>
        <v>166434.59999999998</v>
      </c>
      <c r="I475" s="62">
        <f t="shared" si="194"/>
        <v>159972.80000000002</v>
      </c>
      <c r="J475" s="62">
        <f t="shared" si="194"/>
        <v>159595.70000000001</v>
      </c>
    </row>
    <row r="476" spans="1:10" s="37" customFormat="1" ht="25.5">
      <c r="A476" s="27"/>
      <c r="B476" s="70"/>
      <c r="C476" s="16" t="s">
        <v>105</v>
      </c>
      <c r="D476" s="16" t="s">
        <v>89</v>
      </c>
      <c r="E476" s="52" t="s">
        <v>75</v>
      </c>
      <c r="F476" s="35"/>
      <c r="G476" s="46" t="s">
        <v>400</v>
      </c>
      <c r="H476" s="94">
        <f>H477+H486</f>
        <v>166434.59999999998</v>
      </c>
      <c r="I476" s="94">
        <f t="shared" ref="I476:J476" si="195">I477+I486</f>
        <v>159972.80000000002</v>
      </c>
      <c r="J476" s="94">
        <f t="shared" si="195"/>
        <v>159595.70000000001</v>
      </c>
    </row>
    <row r="477" spans="1:10" s="37" customFormat="1" ht="51">
      <c r="A477" s="27"/>
      <c r="B477" s="70"/>
      <c r="C477" s="56" t="s">
        <v>105</v>
      </c>
      <c r="D477" s="56" t="s">
        <v>89</v>
      </c>
      <c r="E477" s="21" t="s">
        <v>338</v>
      </c>
      <c r="F477" s="35"/>
      <c r="G477" s="97" t="s">
        <v>401</v>
      </c>
      <c r="H477" s="94">
        <f>H478+H480+H482+H484</f>
        <v>165931.89999999997</v>
      </c>
      <c r="I477" s="94">
        <f t="shared" ref="I477:J477" si="196">I478+I480+I482+I484</f>
        <v>159595.70000000001</v>
      </c>
      <c r="J477" s="94">
        <f t="shared" si="196"/>
        <v>159595.70000000001</v>
      </c>
    </row>
    <row r="478" spans="1:10" s="37" customFormat="1" ht="54" customHeight="1">
      <c r="A478" s="27"/>
      <c r="B478" s="70"/>
      <c r="C478" s="56" t="s">
        <v>105</v>
      </c>
      <c r="D478" s="56" t="s">
        <v>89</v>
      </c>
      <c r="E478" s="21" t="s">
        <v>390</v>
      </c>
      <c r="F478" s="21"/>
      <c r="G478" s="98" t="s">
        <v>389</v>
      </c>
      <c r="H478" s="94">
        <f>H479</f>
        <v>94366.399999999994</v>
      </c>
      <c r="I478" s="94">
        <f t="shared" ref="I478:J478" si="197">I479</f>
        <v>88408.6</v>
      </c>
      <c r="J478" s="94">
        <f t="shared" si="197"/>
        <v>88408.6</v>
      </c>
    </row>
    <row r="479" spans="1:10" s="37" customFormat="1" ht="14.25">
      <c r="A479" s="27"/>
      <c r="B479" s="70"/>
      <c r="C479" s="56" t="s">
        <v>105</v>
      </c>
      <c r="D479" s="56" t="s">
        <v>89</v>
      </c>
      <c r="E479" s="21" t="s">
        <v>390</v>
      </c>
      <c r="F479" s="21" t="s">
        <v>226</v>
      </c>
      <c r="G479" s="98" t="s">
        <v>225</v>
      </c>
      <c r="H479" s="1">
        <f>88408.6+2099.9+3857.9</f>
        <v>94366.399999999994</v>
      </c>
      <c r="I479" s="1">
        <v>88408.6</v>
      </c>
      <c r="J479" s="1">
        <v>88408.6</v>
      </c>
    </row>
    <row r="480" spans="1:10" s="37" customFormat="1" ht="76.5">
      <c r="A480" s="27"/>
      <c r="B480" s="70"/>
      <c r="C480" s="56" t="s">
        <v>105</v>
      </c>
      <c r="D480" s="56" t="s">
        <v>89</v>
      </c>
      <c r="E480" s="132" t="s">
        <v>392</v>
      </c>
      <c r="F480" s="21"/>
      <c r="G480" s="98" t="s">
        <v>391</v>
      </c>
      <c r="H480" s="94">
        <f>H481</f>
        <v>70711.999999999985</v>
      </c>
      <c r="I480" s="94">
        <f t="shared" ref="I480:J480" si="198">I481</f>
        <v>71187.099999999991</v>
      </c>
      <c r="J480" s="94">
        <f t="shared" si="198"/>
        <v>71187.099999999991</v>
      </c>
    </row>
    <row r="481" spans="1:10" s="37" customFormat="1" ht="15">
      <c r="A481" s="27"/>
      <c r="B481" s="70"/>
      <c r="C481" s="56" t="s">
        <v>105</v>
      </c>
      <c r="D481" s="56" t="s">
        <v>89</v>
      </c>
      <c r="E481" s="132" t="s">
        <v>392</v>
      </c>
      <c r="F481" s="21" t="s">
        <v>226</v>
      </c>
      <c r="G481" s="98" t="s">
        <v>225</v>
      </c>
      <c r="H481" s="94">
        <f>68790.2+2396.9-466.6-8.5</f>
        <v>70711.999999999985</v>
      </c>
      <c r="I481" s="94">
        <f>68790.2+2396.9</f>
        <v>71187.099999999991</v>
      </c>
      <c r="J481" s="94">
        <f>68790.2+2396.9</f>
        <v>71187.099999999991</v>
      </c>
    </row>
    <row r="482" spans="1:10" s="37" customFormat="1" ht="63.75">
      <c r="A482" s="27"/>
      <c r="B482" s="70"/>
      <c r="C482" s="56" t="s">
        <v>105</v>
      </c>
      <c r="D482" s="56" t="s">
        <v>89</v>
      </c>
      <c r="E482" s="168" t="s">
        <v>767</v>
      </c>
      <c r="F482" s="21"/>
      <c r="G482" s="98" t="s">
        <v>768</v>
      </c>
      <c r="H482" s="94">
        <f>H483</f>
        <v>845</v>
      </c>
      <c r="I482" s="94">
        <f t="shared" ref="I482:J484" si="199">I483</f>
        <v>0</v>
      </c>
      <c r="J482" s="94">
        <f t="shared" si="199"/>
        <v>0</v>
      </c>
    </row>
    <row r="483" spans="1:10" s="37" customFormat="1" ht="15">
      <c r="A483" s="27"/>
      <c r="B483" s="70"/>
      <c r="C483" s="56" t="s">
        <v>105</v>
      </c>
      <c r="D483" s="56" t="s">
        <v>89</v>
      </c>
      <c r="E483" s="169" t="s">
        <v>767</v>
      </c>
      <c r="F483" s="21" t="s">
        <v>226</v>
      </c>
      <c r="G483" s="98" t="s">
        <v>225</v>
      </c>
      <c r="H483" s="39">
        <v>845</v>
      </c>
      <c r="I483" s="94">
        <v>0</v>
      </c>
      <c r="J483" s="94">
        <v>0</v>
      </c>
    </row>
    <row r="484" spans="1:10" s="37" customFormat="1" ht="77.25">
      <c r="A484" s="27"/>
      <c r="B484" s="70"/>
      <c r="C484" s="56" t="s">
        <v>105</v>
      </c>
      <c r="D484" s="56" t="s">
        <v>89</v>
      </c>
      <c r="E484" s="168" t="s">
        <v>769</v>
      </c>
      <c r="F484" s="21"/>
      <c r="G484" s="108" t="s">
        <v>770</v>
      </c>
      <c r="H484" s="94">
        <f>H485</f>
        <v>8.5</v>
      </c>
      <c r="I484" s="94">
        <f t="shared" si="199"/>
        <v>0</v>
      </c>
      <c r="J484" s="94">
        <f t="shared" si="199"/>
        <v>0</v>
      </c>
    </row>
    <row r="485" spans="1:10" s="37" customFormat="1" ht="15">
      <c r="A485" s="27"/>
      <c r="B485" s="70"/>
      <c r="C485" s="56" t="s">
        <v>105</v>
      </c>
      <c r="D485" s="56" t="s">
        <v>89</v>
      </c>
      <c r="E485" s="168" t="s">
        <v>769</v>
      </c>
      <c r="F485" s="21" t="s">
        <v>226</v>
      </c>
      <c r="G485" s="98" t="s">
        <v>225</v>
      </c>
      <c r="H485" s="1">
        <v>8.5</v>
      </c>
      <c r="I485" s="94">
        <v>0</v>
      </c>
      <c r="J485" s="94">
        <v>0</v>
      </c>
    </row>
    <row r="486" spans="1:10" s="37" customFormat="1" ht="38.25">
      <c r="A486" s="27"/>
      <c r="B486" s="70"/>
      <c r="C486" s="56" t="s">
        <v>105</v>
      </c>
      <c r="D486" s="56" t="s">
        <v>89</v>
      </c>
      <c r="E486" s="21" t="s">
        <v>285</v>
      </c>
      <c r="F486" s="35"/>
      <c r="G486" s="97" t="s">
        <v>393</v>
      </c>
      <c r="H486" s="94">
        <f>H487+H489</f>
        <v>502.70000000000005</v>
      </c>
      <c r="I486" s="94">
        <f t="shared" ref="I486:J486" si="200">I487+I489</f>
        <v>377.1</v>
      </c>
      <c r="J486" s="94">
        <f t="shared" si="200"/>
        <v>0</v>
      </c>
    </row>
    <row r="487" spans="1:10" s="37" customFormat="1" ht="51">
      <c r="A487" s="27"/>
      <c r="B487" s="70"/>
      <c r="C487" s="56" t="s">
        <v>105</v>
      </c>
      <c r="D487" s="56" t="s">
        <v>89</v>
      </c>
      <c r="E487" s="21" t="s">
        <v>395</v>
      </c>
      <c r="F487" s="57"/>
      <c r="G487" s="97" t="s">
        <v>394</v>
      </c>
      <c r="H487" s="94">
        <f>H488</f>
        <v>502.70000000000005</v>
      </c>
      <c r="I487" s="94">
        <f t="shared" ref="I487:J487" si="201">I488</f>
        <v>227.1</v>
      </c>
      <c r="J487" s="94">
        <f t="shared" si="201"/>
        <v>0</v>
      </c>
    </row>
    <row r="488" spans="1:10" s="37" customFormat="1" ht="14.25">
      <c r="A488" s="27"/>
      <c r="B488" s="70"/>
      <c r="C488" s="56" t="s">
        <v>105</v>
      </c>
      <c r="D488" s="56" t="s">
        <v>89</v>
      </c>
      <c r="E488" s="21" t="s">
        <v>395</v>
      </c>
      <c r="F488" s="21" t="s">
        <v>226</v>
      </c>
      <c r="G488" s="98" t="s">
        <v>225</v>
      </c>
      <c r="H488" s="94">
        <f>227.1+275.6</f>
        <v>502.70000000000005</v>
      </c>
      <c r="I488" s="94">
        <v>227.1</v>
      </c>
      <c r="J488" s="94">
        <v>0</v>
      </c>
    </row>
    <row r="489" spans="1:10" s="37" customFormat="1" ht="63.75">
      <c r="A489" s="27"/>
      <c r="B489" s="70"/>
      <c r="C489" s="56" t="s">
        <v>105</v>
      </c>
      <c r="D489" s="56" t="s">
        <v>89</v>
      </c>
      <c r="E489" s="57" t="s">
        <v>396</v>
      </c>
      <c r="F489" s="21"/>
      <c r="G489" s="98" t="s">
        <v>379</v>
      </c>
      <c r="H489" s="94">
        <f>H490</f>
        <v>0</v>
      </c>
      <c r="I489" s="94">
        <f t="shared" ref="I489:J489" si="202">I490</f>
        <v>150</v>
      </c>
      <c r="J489" s="94">
        <f t="shared" si="202"/>
        <v>0</v>
      </c>
    </row>
    <row r="490" spans="1:10" s="37" customFormat="1" ht="14.25">
      <c r="A490" s="27"/>
      <c r="B490" s="70"/>
      <c r="C490" s="56" t="s">
        <v>105</v>
      </c>
      <c r="D490" s="56" t="s">
        <v>89</v>
      </c>
      <c r="E490" s="57" t="s">
        <v>396</v>
      </c>
      <c r="F490" s="21" t="s">
        <v>226</v>
      </c>
      <c r="G490" s="98" t="s">
        <v>225</v>
      </c>
      <c r="H490" s="94">
        <f>150-150</f>
        <v>0</v>
      </c>
      <c r="I490" s="94">
        <v>150</v>
      </c>
      <c r="J490" s="94">
        <v>0</v>
      </c>
    </row>
    <row r="491" spans="1:10" s="37" customFormat="1" ht="14.25">
      <c r="A491" s="27"/>
      <c r="B491" s="70"/>
      <c r="C491" s="35" t="s">
        <v>105</v>
      </c>
      <c r="D491" s="35" t="s">
        <v>90</v>
      </c>
      <c r="E491" s="35"/>
      <c r="F491" s="35"/>
      <c r="G491" s="45" t="s">
        <v>109</v>
      </c>
      <c r="H491" s="42">
        <f>H492+H534</f>
        <v>401360.7</v>
      </c>
      <c r="I491" s="42">
        <f>I492+I534</f>
        <v>379678.49999999994</v>
      </c>
      <c r="J491" s="42">
        <f>J492+J534</f>
        <v>370095.7</v>
      </c>
    </row>
    <row r="492" spans="1:10" s="37" customFormat="1" ht="77.25">
      <c r="A492" s="27"/>
      <c r="B492" s="70"/>
      <c r="C492" s="16" t="s">
        <v>105</v>
      </c>
      <c r="D492" s="16" t="s">
        <v>90</v>
      </c>
      <c r="E492" s="21" t="s">
        <v>74</v>
      </c>
      <c r="F492" s="35"/>
      <c r="G492" s="64" t="s">
        <v>610</v>
      </c>
      <c r="H492" s="65">
        <f>H493</f>
        <v>401245.7</v>
      </c>
      <c r="I492" s="65">
        <f t="shared" ref="I492:J492" si="203">I493</f>
        <v>379678.49999999994</v>
      </c>
      <c r="J492" s="65">
        <f t="shared" si="203"/>
        <v>370095.7</v>
      </c>
    </row>
    <row r="493" spans="1:10" s="37" customFormat="1" ht="39.75" customHeight="1">
      <c r="A493" s="27"/>
      <c r="B493" s="70"/>
      <c r="C493" s="47" t="s">
        <v>105</v>
      </c>
      <c r="D493" s="47" t="s">
        <v>90</v>
      </c>
      <c r="E493" s="52" t="s">
        <v>76</v>
      </c>
      <c r="F493" s="21"/>
      <c r="G493" s="46" t="s">
        <v>597</v>
      </c>
      <c r="H493" s="94">
        <f>H494+H505+H514+H521+H526+H531</f>
        <v>401245.7</v>
      </c>
      <c r="I493" s="94">
        <f t="shared" ref="I493:J493" si="204">I494+I505+I514+I521+I526+I531</f>
        <v>379678.49999999994</v>
      </c>
      <c r="J493" s="94">
        <f t="shared" si="204"/>
        <v>370095.7</v>
      </c>
    </row>
    <row r="494" spans="1:10" s="37" customFormat="1" ht="65.25" customHeight="1">
      <c r="A494" s="27"/>
      <c r="B494" s="70"/>
      <c r="C494" s="56" t="s">
        <v>105</v>
      </c>
      <c r="D494" s="90" t="s">
        <v>90</v>
      </c>
      <c r="E494" s="21" t="s">
        <v>290</v>
      </c>
      <c r="F494" s="35"/>
      <c r="G494" s="97" t="s">
        <v>402</v>
      </c>
      <c r="H494" s="94">
        <f>H495+H497+H499+H501+H503</f>
        <v>353176.5</v>
      </c>
      <c r="I494" s="94">
        <f t="shared" ref="I494:J494" si="205">I495+I497+I499+I501+I503</f>
        <v>325062.3</v>
      </c>
      <c r="J494" s="94">
        <f t="shared" si="205"/>
        <v>325062.3</v>
      </c>
    </row>
    <row r="495" spans="1:10" s="37" customFormat="1" ht="76.5">
      <c r="A495" s="27"/>
      <c r="B495" s="70"/>
      <c r="C495" s="56" t="s">
        <v>105</v>
      </c>
      <c r="D495" s="90" t="s">
        <v>90</v>
      </c>
      <c r="E495" s="82" t="s">
        <v>404</v>
      </c>
      <c r="F495" s="82"/>
      <c r="G495" s="98" t="s">
        <v>403</v>
      </c>
      <c r="H495" s="94">
        <f>H496</f>
        <v>250068.3</v>
      </c>
      <c r="I495" s="94">
        <f>I496</f>
        <v>222855.8</v>
      </c>
      <c r="J495" s="94">
        <f>J496</f>
        <v>222855.8</v>
      </c>
    </row>
    <row r="496" spans="1:10" s="37" customFormat="1" ht="14.25">
      <c r="A496" s="27"/>
      <c r="B496" s="70"/>
      <c r="C496" s="56" t="s">
        <v>105</v>
      </c>
      <c r="D496" s="90" t="s">
        <v>90</v>
      </c>
      <c r="E496" s="57" t="s">
        <v>404</v>
      </c>
      <c r="F496" s="21" t="s">
        <v>226</v>
      </c>
      <c r="G496" s="98" t="s">
        <v>225</v>
      </c>
      <c r="H496" s="39">
        <f>222855.8+14016+13196.5</f>
        <v>250068.3</v>
      </c>
      <c r="I496" s="39">
        <v>222855.8</v>
      </c>
      <c r="J496" s="39">
        <v>222855.8</v>
      </c>
    </row>
    <row r="497" spans="1:10" s="37" customFormat="1" ht="63.75">
      <c r="A497" s="27"/>
      <c r="B497" s="70"/>
      <c r="C497" s="16" t="s">
        <v>105</v>
      </c>
      <c r="D497" s="16" t="s">
        <v>90</v>
      </c>
      <c r="E497" s="57" t="s">
        <v>405</v>
      </c>
      <c r="F497" s="21"/>
      <c r="G497" s="98" t="s">
        <v>289</v>
      </c>
      <c r="H497" s="94">
        <f>H498</f>
        <v>86546.3</v>
      </c>
      <c r="I497" s="94">
        <f>I498</f>
        <v>86324</v>
      </c>
      <c r="J497" s="94">
        <f>J498</f>
        <v>86324</v>
      </c>
    </row>
    <row r="498" spans="1:10" s="37" customFormat="1" ht="14.25">
      <c r="A498" s="27"/>
      <c r="B498" s="70"/>
      <c r="C498" s="56" t="s">
        <v>105</v>
      </c>
      <c r="D498" s="90" t="s">
        <v>90</v>
      </c>
      <c r="E498" s="57" t="s">
        <v>405</v>
      </c>
      <c r="F498" s="21" t="s">
        <v>226</v>
      </c>
      <c r="G498" s="98" t="s">
        <v>225</v>
      </c>
      <c r="H498" s="94">
        <f>82839.4+3484.6-6.5+228.8</f>
        <v>86546.3</v>
      </c>
      <c r="I498" s="94">
        <f>82839.4+3484.6</f>
        <v>86324</v>
      </c>
      <c r="J498" s="94">
        <f>82839.4+3484.6</f>
        <v>86324</v>
      </c>
    </row>
    <row r="499" spans="1:10" s="37" customFormat="1" ht="63.75">
      <c r="A499" s="27"/>
      <c r="B499" s="70"/>
      <c r="C499" s="56" t="s">
        <v>105</v>
      </c>
      <c r="D499" s="90" t="s">
        <v>90</v>
      </c>
      <c r="E499" s="57" t="s">
        <v>407</v>
      </c>
      <c r="F499" s="21"/>
      <c r="G499" s="98" t="s">
        <v>406</v>
      </c>
      <c r="H499" s="94">
        <f>H500</f>
        <v>15910.5</v>
      </c>
      <c r="I499" s="94">
        <f>I500</f>
        <v>15882.5</v>
      </c>
      <c r="J499" s="94">
        <f>J500</f>
        <v>15882.5</v>
      </c>
    </row>
    <row r="500" spans="1:10" s="37" customFormat="1" ht="14.25">
      <c r="A500" s="27"/>
      <c r="B500" s="70"/>
      <c r="C500" s="16" t="s">
        <v>105</v>
      </c>
      <c r="D500" s="16" t="s">
        <v>90</v>
      </c>
      <c r="E500" s="21" t="s">
        <v>407</v>
      </c>
      <c r="F500" s="21" t="s">
        <v>226</v>
      </c>
      <c r="G500" s="98" t="s">
        <v>225</v>
      </c>
      <c r="H500" s="1">
        <f>15882.5+28</f>
        <v>15910.5</v>
      </c>
      <c r="I500" s="1">
        <v>15882.5</v>
      </c>
      <c r="J500" s="1">
        <v>15882.5</v>
      </c>
    </row>
    <row r="501" spans="1:10" s="37" customFormat="1" ht="51.75">
      <c r="A501" s="27"/>
      <c r="B501" s="70"/>
      <c r="C501" s="56" t="s">
        <v>105</v>
      </c>
      <c r="D501" s="90" t="s">
        <v>90</v>
      </c>
      <c r="E501" s="168" t="s">
        <v>771</v>
      </c>
      <c r="F501" s="21"/>
      <c r="G501" s="108" t="s">
        <v>772</v>
      </c>
      <c r="H501" s="39">
        <f>H502</f>
        <v>644.9</v>
      </c>
      <c r="I501" s="39">
        <f t="shared" ref="I501:J501" si="206">I502</f>
        <v>0</v>
      </c>
      <c r="J501" s="39">
        <f t="shared" si="206"/>
        <v>0</v>
      </c>
    </row>
    <row r="502" spans="1:10" s="37" customFormat="1" ht="15">
      <c r="A502" s="27"/>
      <c r="B502" s="70"/>
      <c r="C502" s="16" t="s">
        <v>105</v>
      </c>
      <c r="D502" s="16" t="s">
        <v>90</v>
      </c>
      <c r="E502" s="168" t="s">
        <v>771</v>
      </c>
      <c r="F502" s="21" t="s">
        <v>226</v>
      </c>
      <c r="G502" s="98" t="s">
        <v>225</v>
      </c>
      <c r="H502" s="1">
        <v>644.9</v>
      </c>
      <c r="I502" s="1">
        <v>0</v>
      </c>
      <c r="J502" s="1">
        <v>0</v>
      </c>
    </row>
    <row r="503" spans="1:10" s="37" customFormat="1" ht="64.5">
      <c r="A503" s="27"/>
      <c r="B503" s="70"/>
      <c r="C503" s="56" t="s">
        <v>105</v>
      </c>
      <c r="D503" s="90" t="s">
        <v>90</v>
      </c>
      <c r="E503" s="168" t="s">
        <v>773</v>
      </c>
      <c r="F503" s="21"/>
      <c r="G503" s="108" t="s">
        <v>774</v>
      </c>
      <c r="H503" s="1">
        <f>H504</f>
        <v>6.5</v>
      </c>
      <c r="I503" s="1">
        <f t="shared" ref="I503:J503" si="207">I504</f>
        <v>0</v>
      </c>
      <c r="J503" s="1">
        <f t="shared" si="207"/>
        <v>0</v>
      </c>
    </row>
    <row r="504" spans="1:10" s="37" customFormat="1" ht="15">
      <c r="A504" s="27"/>
      <c r="B504" s="70"/>
      <c r="C504" s="56" t="s">
        <v>105</v>
      </c>
      <c r="D504" s="90" t="s">
        <v>90</v>
      </c>
      <c r="E504" s="168" t="s">
        <v>773</v>
      </c>
      <c r="F504" s="21" t="s">
        <v>226</v>
      </c>
      <c r="G504" s="98" t="s">
        <v>225</v>
      </c>
      <c r="H504" s="1">
        <v>6.5</v>
      </c>
      <c r="I504" s="39">
        <v>0</v>
      </c>
      <c r="J504" s="39">
        <v>0</v>
      </c>
    </row>
    <row r="505" spans="1:10" s="37" customFormat="1" ht="38.25">
      <c r="A505" s="27"/>
      <c r="B505" s="70"/>
      <c r="C505" s="16" t="s">
        <v>105</v>
      </c>
      <c r="D505" s="16" t="s">
        <v>90</v>
      </c>
      <c r="E505" s="21" t="s">
        <v>409</v>
      </c>
      <c r="F505" s="82"/>
      <c r="G505" s="97" t="s">
        <v>408</v>
      </c>
      <c r="H505" s="94">
        <f>H506+H508+H510+H512</f>
        <v>793.6</v>
      </c>
      <c r="I505" s="94">
        <f t="shared" ref="I505:J505" si="208">I506+I508+I510+I512</f>
        <v>2451.6999999999998</v>
      </c>
      <c r="J505" s="94">
        <f t="shared" si="208"/>
        <v>1642.9</v>
      </c>
    </row>
    <row r="506" spans="1:10" s="37" customFormat="1" ht="51">
      <c r="A506" s="27"/>
      <c r="B506" s="70"/>
      <c r="C506" s="16" t="s">
        <v>105</v>
      </c>
      <c r="D506" s="16" t="s">
        <v>90</v>
      </c>
      <c r="E506" s="57" t="s">
        <v>410</v>
      </c>
      <c r="F506" s="21"/>
      <c r="G506" s="98" t="s">
        <v>411</v>
      </c>
      <c r="H506" s="94">
        <f>H507</f>
        <v>193.6</v>
      </c>
      <c r="I506" s="94">
        <f>I507</f>
        <v>470</v>
      </c>
      <c r="J506" s="94">
        <f>J507</f>
        <v>0</v>
      </c>
    </row>
    <row r="507" spans="1:10" s="37" customFormat="1" ht="14.25">
      <c r="A507" s="27"/>
      <c r="B507" s="70"/>
      <c r="C507" s="16" t="s">
        <v>105</v>
      </c>
      <c r="D507" s="16" t="s">
        <v>90</v>
      </c>
      <c r="E507" s="57" t="s">
        <v>410</v>
      </c>
      <c r="F507" s="21" t="s">
        <v>226</v>
      </c>
      <c r="G507" s="98" t="s">
        <v>225</v>
      </c>
      <c r="H507" s="94">
        <f>273-27.3-52.1</f>
        <v>193.6</v>
      </c>
      <c r="I507" s="94">
        <v>470</v>
      </c>
      <c r="J507" s="94">
        <v>0</v>
      </c>
    </row>
    <row r="508" spans="1:10" s="37" customFormat="1" ht="63.75">
      <c r="A508" s="27"/>
      <c r="B508" s="70"/>
      <c r="C508" s="16" t="s">
        <v>105</v>
      </c>
      <c r="D508" s="16" t="s">
        <v>90</v>
      </c>
      <c r="E508" s="57" t="s">
        <v>412</v>
      </c>
      <c r="F508" s="57"/>
      <c r="G508" s="124" t="s">
        <v>413</v>
      </c>
      <c r="H508" s="94">
        <f>H509</f>
        <v>0</v>
      </c>
      <c r="I508" s="94">
        <f>I509</f>
        <v>1481.6999999999998</v>
      </c>
      <c r="J508" s="94">
        <f>J509</f>
        <v>1142.9000000000001</v>
      </c>
    </row>
    <row r="509" spans="1:10" s="37" customFormat="1" ht="14.25">
      <c r="A509" s="27"/>
      <c r="B509" s="70"/>
      <c r="C509" s="16" t="s">
        <v>105</v>
      </c>
      <c r="D509" s="16" t="s">
        <v>90</v>
      </c>
      <c r="E509" s="57" t="s">
        <v>412</v>
      </c>
      <c r="F509" s="21" t="s">
        <v>226</v>
      </c>
      <c r="G509" s="98" t="s">
        <v>225</v>
      </c>
      <c r="H509" s="94">
        <v>0</v>
      </c>
      <c r="I509" s="94">
        <f>5245.5-3763.8</f>
        <v>1481.6999999999998</v>
      </c>
      <c r="J509" s="94">
        <v>1142.9000000000001</v>
      </c>
    </row>
    <row r="510" spans="1:10" s="37" customFormat="1" ht="51">
      <c r="A510" s="27"/>
      <c r="B510" s="70"/>
      <c r="C510" s="16" t="s">
        <v>105</v>
      </c>
      <c r="D510" s="16" t="s">
        <v>90</v>
      </c>
      <c r="E510" s="57" t="s">
        <v>660</v>
      </c>
      <c r="F510" s="21"/>
      <c r="G510" s="98" t="s">
        <v>661</v>
      </c>
      <c r="H510" s="94">
        <f>H511</f>
        <v>500</v>
      </c>
      <c r="I510" s="94">
        <f t="shared" ref="I510:J510" si="209">I511</f>
        <v>500</v>
      </c>
      <c r="J510" s="94">
        <f t="shared" si="209"/>
        <v>500</v>
      </c>
    </row>
    <row r="511" spans="1:10" s="37" customFormat="1" ht="14.25">
      <c r="A511" s="27"/>
      <c r="B511" s="70"/>
      <c r="C511" s="16" t="s">
        <v>105</v>
      </c>
      <c r="D511" s="16" t="s">
        <v>90</v>
      </c>
      <c r="E511" s="57" t="s">
        <v>660</v>
      </c>
      <c r="F511" s="21" t="s">
        <v>226</v>
      </c>
      <c r="G511" s="98" t="s">
        <v>225</v>
      </c>
      <c r="H511" s="94">
        <v>500</v>
      </c>
      <c r="I511" s="94">
        <v>500</v>
      </c>
      <c r="J511" s="94">
        <v>500</v>
      </c>
    </row>
    <row r="512" spans="1:10" s="37" customFormat="1" ht="38.25">
      <c r="A512" s="27"/>
      <c r="B512" s="70"/>
      <c r="C512" s="16" t="s">
        <v>105</v>
      </c>
      <c r="D512" s="16" t="s">
        <v>90</v>
      </c>
      <c r="E512" s="165" t="s">
        <v>745</v>
      </c>
      <c r="F512" s="21"/>
      <c r="G512" s="124" t="s">
        <v>746</v>
      </c>
      <c r="H512" s="94">
        <f>H513</f>
        <v>100</v>
      </c>
      <c r="I512" s="94">
        <f t="shared" ref="I512:J512" si="210">I513</f>
        <v>0</v>
      </c>
      <c r="J512" s="94">
        <f t="shared" si="210"/>
        <v>0</v>
      </c>
    </row>
    <row r="513" spans="1:10" s="37" customFormat="1" ht="14.25">
      <c r="A513" s="27"/>
      <c r="B513" s="70"/>
      <c r="C513" s="16" t="s">
        <v>105</v>
      </c>
      <c r="D513" s="16" t="s">
        <v>90</v>
      </c>
      <c r="E513" s="165" t="s">
        <v>745</v>
      </c>
      <c r="F513" s="21" t="s">
        <v>226</v>
      </c>
      <c r="G513" s="98" t="s">
        <v>225</v>
      </c>
      <c r="H513" s="94">
        <v>100</v>
      </c>
      <c r="I513" s="94">
        <v>0</v>
      </c>
      <c r="J513" s="94">
        <v>0</v>
      </c>
    </row>
    <row r="514" spans="1:10" s="37" customFormat="1" ht="63.75">
      <c r="A514" s="27"/>
      <c r="B514" s="70"/>
      <c r="C514" s="16" t="s">
        <v>105</v>
      </c>
      <c r="D514" s="16" t="s">
        <v>90</v>
      </c>
      <c r="E514" s="21" t="s">
        <v>414</v>
      </c>
      <c r="F514" s="21"/>
      <c r="G514" s="97" t="s">
        <v>416</v>
      </c>
      <c r="H514" s="94">
        <f>H515+H517+H519</f>
        <v>22971.5</v>
      </c>
      <c r="I514" s="94">
        <f t="shared" ref="I514:J514" si="211">I515+I517+I519</f>
        <v>26738.799999999996</v>
      </c>
      <c r="J514" s="94">
        <f t="shared" si="211"/>
        <v>22800</v>
      </c>
    </row>
    <row r="515" spans="1:10" s="37" customFormat="1" ht="38.25">
      <c r="A515" s="27"/>
      <c r="B515" s="70"/>
      <c r="C515" s="16" t="s">
        <v>105</v>
      </c>
      <c r="D515" s="16" t="s">
        <v>90</v>
      </c>
      <c r="E515" s="57" t="s">
        <v>415</v>
      </c>
      <c r="F515" s="21"/>
      <c r="G515" s="98" t="s">
        <v>311</v>
      </c>
      <c r="H515" s="94">
        <f>H516</f>
        <v>5249.9</v>
      </c>
      <c r="I515" s="94">
        <f>I516</f>
        <v>5249.9</v>
      </c>
      <c r="J515" s="94">
        <f>J516</f>
        <v>5249.9</v>
      </c>
    </row>
    <row r="516" spans="1:10" s="37" customFormat="1" ht="14.25">
      <c r="A516" s="27"/>
      <c r="B516" s="70"/>
      <c r="C516" s="16" t="s">
        <v>105</v>
      </c>
      <c r="D516" s="16" t="s">
        <v>90</v>
      </c>
      <c r="E516" s="57" t="s">
        <v>415</v>
      </c>
      <c r="F516" s="21" t="s">
        <v>226</v>
      </c>
      <c r="G516" s="98" t="s">
        <v>225</v>
      </c>
      <c r="H516" s="39">
        <v>5249.9</v>
      </c>
      <c r="I516" s="39">
        <v>5249.9</v>
      </c>
      <c r="J516" s="39">
        <v>5249.9</v>
      </c>
    </row>
    <row r="517" spans="1:10" s="37" customFormat="1" ht="76.5">
      <c r="A517" s="27"/>
      <c r="B517" s="70"/>
      <c r="C517" s="16" t="s">
        <v>105</v>
      </c>
      <c r="D517" s="16" t="s">
        <v>90</v>
      </c>
      <c r="E517" s="21" t="s">
        <v>417</v>
      </c>
      <c r="F517" s="21"/>
      <c r="G517" s="98" t="s">
        <v>136</v>
      </c>
      <c r="H517" s="94">
        <f>H518</f>
        <v>17550.099999999999</v>
      </c>
      <c r="I517" s="94">
        <f>I518</f>
        <v>21313.899999999998</v>
      </c>
      <c r="J517" s="94">
        <f>J518</f>
        <v>17550.099999999999</v>
      </c>
    </row>
    <row r="518" spans="1:10" s="37" customFormat="1" ht="14.25">
      <c r="A518" s="27"/>
      <c r="B518" s="70"/>
      <c r="C518" s="82" t="s">
        <v>105</v>
      </c>
      <c r="D518" s="16" t="s">
        <v>90</v>
      </c>
      <c r="E518" s="21" t="s">
        <v>417</v>
      </c>
      <c r="F518" s="21" t="s">
        <v>226</v>
      </c>
      <c r="G518" s="98" t="s">
        <v>225</v>
      </c>
      <c r="H518" s="94">
        <v>17550.099999999999</v>
      </c>
      <c r="I518" s="94">
        <f>17550.1+3763.8</f>
        <v>21313.899999999998</v>
      </c>
      <c r="J518" s="94">
        <v>17550.099999999999</v>
      </c>
    </row>
    <row r="519" spans="1:10" s="37" customFormat="1" ht="76.5">
      <c r="A519" s="27"/>
      <c r="B519" s="70"/>
      <c r="C519" s="16" t="s">
        <v>105</v>
      </c>
      <c r="D519" s="16" t="s">
        <v>90</v>
      </c>
      <c r="E519" s="21" t="s">
        <v>418</v>
      </c>
      <c r="F519" s="21"/>
      <c r="G519" s="98" t="s">
        <v>608</v>
      </c>
      <c r="H519" s="94">
        <f>H520</f>
        <v>171.5</v>
      </c>
      <c r="I519" s="94">
        <f>I520</f>
        <v>175</v>
      </c>
      <c r="J519" s="94">
        <f>J520</f>
        <v>0</v>
      </c>
    </row>
    <row r="520" spans="1:10" s="37" customFormat="1" ht="14.25">
      <c r="A520" s="27"/>
      <c r="B520" s="70"/>
      <c r="C520" s="16" t="s">
        <v>105</v>
      </c>
      <c r="D520" s="16" t="s">
        <v>90</v>
      </c>
      <c r="E520" s="21" t="s">
        <v>418</v>
      </c>
      <c r="F520" s="21" t="s">
        <v>226</v>
      </c>
      <c r="G520" s="98" t="s">
        <v>225</v>
      </c>
      <c r="H520" s="41">
        <f>175-3.5</f>
        <v>171.5</v>
      </c>
      <c r="I520" s="41">
        <v>175</v>
      </c>
      <c r="J520" s="41">
        <v>0</v>
      </c>
    </row>
    <row r="521" spans="1:10" s="37" customFormat="1" ht="51">
      <c r="A521" s="27"/>
      <c r="B521" s="70"/>
      <c r="C521" s="82" t="s">
        <v>105</v>
      </c>
      <c r="D521" s="82" t="s">
        <v>90</v>
      </c>
      <c r="E521" s="21" t="s">
        <v>419</v>
      </c>
      <c r="F521" s="21"/>
      <c r="G521" s="97" t="s">
        <v>420</v>
      </c>
      <c r="H521" s="41">
        <f>H522+H524</f>
        <v>22979.4</v>
      </c>
      <c r="I521" s="41">
        <f t="shared" ref="I521:J521" si="212">I522+I524</f>
        <v>22608.1</v>
      </c>
      <c r="J521" s="41">
        <f t="shared" si="212"/>
        <v>18022.900000000001</v>
      </c>
    </row>
    <row r="522" spans="1:10" s="37" customFormat="1" ht="63.75">
      <c r="A522" s="27"/>
      <c r="B522" s="70"/>
      <c r="C522" s="16" t="s">
        <v>105</v>
      </c>
      <c r="D522" s="16" t="s">
        <v>90</v>
      </c>
      <c r="E522" s="21" t="s">
        <v>735</v>
      </c>
      <c r="F522" s="82"/>
      <c r="G522" s="55" t="s">
        <v>381</v>
      </c>
      <c r="H522" s="41">
        <f>H523</f>
        <v>18640</v>
      </c>
      <c r="I522" s="41">
        <f t="shared" ref="I522:J522" si="213">I523</f>
        <v>18640</v>
      </c>
      <c r="J522" s="41">
        <f t="shared" si="213"/>
        <v>18022.900000000001</v>
      </c>
    </row>
    <row r="523" spans="1:10" s="37" customFormat="1" ht="14.25">
      <c r="A523" s="27"/>
      <c r="B523" s="70"/>
      <c r="C523" s="16" t="s">
        <v>105</v>
      </c>
      <c r="D523" s="16" t="s">
        <v>90</v>
      </c>
      <c r="E523" s="21" t="s">
        <v>735</v>
      </c>
      <c r="F523" s="21" t="s">
        <v>226</v>
      </c>
      <c r="G523" s="98" t="s">
        <v>225</v>
      </c>
      <c r="H523" s="39">
        <v>18640</v>
      </c>
      <c r="I523" s="39">
        <v>18640</v>
      </c>
      <c r="J523" s="39">
        <v>18022.900000000001</v>
      </c>
    </row>
    <row r="524" spans="1:10" s="37" customFormat="1" ht="63.75">
      <c r="A524" s="27"/>
      <c r="B524" s="70"/>
      <c r="C524" s="16" t="s">
        <v>105</v>
      </c>
      <c r="D524" s="16" t="s">
        <v>90</v>
      </c>
      <c r="E524" s="57" t="s">
        <v>588</v>
      </c>
      <c r="F524" s="16"/>
      <c r="G524" s="98" t="s">
        <v>589</v>
      </c>
      <c r="H524" s="41">
        <f>H525</f>
        <v>4339.3999999999996</v>
      </c>
      <c r="I524" s="41">
        <f t="shared" ref="I524:J524" si="214">I525</f>
        <v>3968.1</v>
      </c>
      <c r="J524" s="41">
        <f t="shared" si="214"/>
        <v>0</v>
      </c>
    </row>
    <row r="525" spans="1:10" s="37" customFormat="1" ht="14.25">
      <c r="A525" s="27"/>
      <c r="B525" s="70"/>
      <c r="C525" s="16" t="s">
        <v>105</v>
      </c>
      <c r="D525" s="16" t="s">
        <v>90</v>
      </c>
      <c r="E525" s="57" t="s">
        <v>588</v>
      </c>
      <c r="F525" s="21" t="s">
        <v>226</v>
      </c>
      <c r="G525" s="98" t="s">
        <v>225</v>
      </c>
      <c r="H525" s="41">
        <f>3968.1+466.6-95.3</f>
        <v>4339.3999999999996</v>
      </c>
      <c r="I525" s="41">
        <v>3968.1</v>
      </c>
      <c r="J525" s="41">
        <v>0</v>
      </c>
    </row>
    <row r="526" spans="1:10" s="37" customFormat="1" ht="38.25">
      <c r="A526" s="27"/>
      <c r="B526" s="70"/>
      <c r="C526" s="16" t="s">
        <v>105</v>
      </c>
      <c r="D526" s="16" t="s">
        <v>90</v>
      </c>
      <c r="E526" s="57" t="s">
        <v>662</v>
      </c>
      <c r="F526" s="21"/>
      <c r="G526" s="150" t="s">
        <v>663</v>
      </c>
      <c r="H526" s="41">
        <f>H527+H529</f>
        <v>639.29999999999995</v>
      </c>
      <c r="I526" s="41">
        <f t="shared" ref="I526:J526" si="215">I527+I529</f>
        <v>250</v>
      </c>
      <c r="J526" s="41">
        <f t="shared" si="215"/>
        <v>0</v>
      </c>
    </row>
    <row r="527" spans="1:10" s="37" customFormat="1" ht="63.75">
      <c r="A527" s="27"/>
      <c r="B527" s="70"/>
      <c r="C527" s="16" t="s">
        <v>105</v>
      </c>
      <c r="D527" s="16" t="s">
        <v>90</v>
      </c>
      <c r="E527" s="57" t="s">
        <v>734</v>
      </c>
      <c r="F527" s="21"/>
      <c r="G527" s="97" t="s">
        <v>733</v>
      </c>
      <c r="H527" s="41">
        <f>H528</f>
        <v>250</v>
      </c>
      <c r="I527" s="41">
        <f t="shared" ref="I527:J527" si="216">I528</f>
        <v>250</v>
      </c>
      <c r="J527" s="41">
        <f t="shared" si="216"/>
        <v>0</v>
      </c>
    </row>
    <row r="528" spans="1:10" s="37" customFormat="1" ht="14.25">
      <c r="A528" s="27"/>
      <c r="B528" s="70"/>
      <c r="C528" s="16" t="s">
        <v>105</v>
      </c>
      <c r="D528" s="16" t="s">
        <v>90</v>
      </c>
      <c r="E528" s="57" t="s">
        <v>734</v>
      </c>
      <c r="F528" s="21" t="s">
        <v>226</v>
      </c>
      <c r="G528" s="98" t="s">
        <v>225</v>
      </c>
      <c r="H528" s="41">
        <v>250</v>
      </c>
      <c r="I528" s="41">
        <v>250</v>
      </c>
      <c r="J528" s="41">
        <v>0</v>
      </c>
    </row>
    <row r="529" spans="1:10" s="37" customFormat="1" ht="51">
      <c r="A529" s="27"/>
      <c r="B529" s="70"/>
      <c r="C529" s="16" t="s">
        <v>105</v>
      </c>
      <c r="D529" s="16" t="s">
        <v>90</v>
      </c>
      <c r="E529" s="57" t="s">
        <v>741</v>
      </c>
      <c r="F529" s="21"/>
      <c r="G529" s="97" t="s">
        <v>742</v>
      </c>
      <c r="H529" s="41">
        <f>H530</f>
        <v>389.3</v>
      </c>
      <c r="I529" s="41">
        <f t="shared" ref="I529:J529" si="217">I530</f>
        <v>0</v>
      </c>
      <c r="J529" s="41">
        <f t="shared" si="217"/>
        <v>0</v>
      </c>
    </row>
    <row r="530" spans="1:10" s="37" customFormat="1" ht="14.25">
      <c r="A530" s="27"/>
      <c r="B530" s="70"/>
      <c r="C530" s="16" t="s">
        <v>105</v>
      </c>
      <c r="D530" s="16" t="s">
        <v>90</v>
      </c>
      <c r="E530" s="57" t="s">
        <v>741</v>
      </c>
      <c r="F530" s="21" t="s">
        <v>226</v>
      </c>
      <c r="G530" s="98" t="s">
        <v>225</v>
      </c>
      <c r="H530" s="41">
        <v>389.3</v>
      </c>
      <c r="I530" s="41">
        <v>0</v>
      </c>
      <c r="J530" s="41">
        <v>0</v>
      </c>
    </row>
    <row r="531" spans="1:10" s="37" customFormat="1" ht="51">
      <c r="A531" s="27"/>
      <c r="B531" s="70"/>
      <c r="C531" s="56" t="s">
        <v>105</v>
      </c>
      <c r="D531" s="90" t="s">
        <v>90</v>
      </c>
      <c r="E531" s="57" t="s">
        <v>762</v>
      </c>
      <c r="F531" s="21"/>
      <c r="G531" s="98" t="s">
        <v>763</v>
      </c>
      <c r="H531" s="41">
        <f>H532</f>
        <v>685.4</v>
      </c>
      <c r="I531" s="41">
        <f t="shared" ref="I531:J531" si="218">I532</f>
        <v>2567.6</v>
      </c>
      <c r="J531" s="41">
        <f t="shared" si="218"/>
        <v>2567.6</v>
      </c>
    </row>
    <row r="532" spans="1:10" s="37" customFormat="1" ht="63.75">
      <c r="A532" s="27"/>
      <c r="B532" s="70"/>
      <c r="C532" s="56" t="s">
        <v>105</v>
      </c>
      <c r="D532" s="90" t="s">
        <v>90</v>
      </c>
      <c r="E532" s="57" t="s">
        <v>760</v>
      </c>
      <c r="F532" s="21"/>
      <c r="G532" s="98" t="s">
        <v>761</v>
      </c>
      <c r="H532" s="1">
        <f>H533</f>
        <v>685.4</v>
      </c>
      <c r="I532" s="1">
        <f t="shared" ref="I532:J532" si="219">I533</f>
        <v>2567.6</v>
      </c>
      <c r="J532" s="1">
        <f t="shared" si="219"/>
        <v>2567.6</v>
      </c>
    </row>
    <row r="533" spans="1:10" s="37" customFormat="1" ht="14.25">
      <c r="A533" s="27"/>
      <c r="B533" s="70"/>
      <c r="C533" s="16" t="s">
        <v>105</v>
      </c>
      <c r="D533" s="16" t="s">
        <v>90</v>
      </c>
      <c r="E533" s="57" t="s">
        <v>760</v>
      </c>
      <c r="F533" s="21" t="s">
        <v>226</v>
      </c>
      <c r="G533" s="98" t="s">
        <v>225</v>
      </c>
      <c r="H533" s="1">
        <v>685.4</v>
      </c>
      <c r="I533" s="1">
        <v>2567.6</v>
      </c>
      <c r="J533" s="1">
        <v>2567.6</v>
      </c>
    </row>
    <row r="534" spans="1:10" s="37" customFormat="1" ht="38.25">
      <c r="A534" s="27"/>
      <c r="B534" s="70"/>
      <c r="C534" s="16" t="s">
        <v>105</v>
      </c>
      <c r="D534" s="16" t="s">
        <v>90</v>
      </c>
      <c r="E534" s="82" t="s">
        <v>25</v>
      </c>
      <c r="F534" s="82"/>
      <c r="G534" s="99" t="s">
        <v>39</v>
      </c>
      <c r="H534" s="41">
        <f>H535</f>
        <v>115</v>
      </c>
      <c r="I534" s="41">
        <f t="shared" ref="I534:J534" si="220">I535</f>
        <v>0</v>
      </c>
      <c r="J534" s="41">
        <f t="shared" si="220"/>
        <v>0</v>
      </c>
    </row>
    <row r="535" spans="1:10" s="37" customFormat="1" ht="51">
      <c r="A535" s="27"/>
      <c r="B535" s="70"/>
      <c r="C535" s="16" t="s">
        <v>105</v>
      </c>
      <c r="D535" s="16" t="s">
        <v>90</v>
      </c>
      <c r="E535" s="82" t="s">
        <v>607</v>
      </c>
      <c r="F535" s="16"/>
      <c r="G535" s="54" t="s">
        <v>605</v>
      </c>
      <c r="H535" s="41">
        <f>SUM(H536:H536)</f>
        <v>115</v>
      </c>
      <c r="I535" s="41">
        <f>SUM(I536:I536)</f>
        <v>0</v>
      </c>
      <c r="J535" s="41">
        <f>SUM(J536:J536)</f>
        <v>0</v>
      </c>
    </row>
    <row r="536" spans="1:10" s="37" customFormat="1" ht="14.25">
      <c r="A536" s="27"/>
      <c r="B536" s="70"/>
      <c r="C536" s="16" t="s">
        <v>105</v>
      </c>
      <c r="D536" s="16" t="s">
        <v>90</v>
      </c>
      <c r="E536" s="82" t="s">
        <v>607</v>
      </c>
      <c r="F536" s="21" t="s">
        <v>226</v>
      </c>
      <c r="G536" s="98" t="s">
        <v>225</v>
      </c>
      <c r="H536" s="39">
        <f>70+45</f>
        <v>115</v>
      </c>
      <c r="I536" s="39">
        <v>0</v>
      </c>
      <c r="J536" s="39">
        <v>0</v>
      </c>
    </row>
    <row r="537" spans="1:10" s="37" customFormat="1" ht="14.25">
      <c r="A537" s="27"/>
      <c r="B537" s="70"/>
      <c r="C537" s="35" t="s">
        <v>105</v>
      </c>
      <c r="D537" s="35" t="s">
        <v>94</v>
      </c>
      <c r="E537" s="35"/>
      <c r="F537" s="35"/>
      <c r="G537" s="46" t="s">
        <v>157</v>
      </c>
      <c r="H537" s="42">
        <f>H538+H564</f>
        <v>49608.6</v>
      </c>
      <c r="I537" s="42">
        <f>I538+I564</f>
        <v>46673.200000000004</v>
      </c>
      <c r="J537" s="42">
        <f>J538+J564</f>
        <v>46468.700000000004</v>
      </c>
    </row>
    <row r="538" spans="1:10" s="37" customFormat="1" ht="76.5">
      <c r="A538" s="27"/>
      <c r="B538" s="70"/>
      <c r="C538" s="5" t="s">
        <v>105</v>
      </c>
      <c r="D538" s="5" t="s">
        <v>94</v>
      </c>
      <c r="E538" s="73" t="s">
        <v>74</v>
      </c>
      <c r="F538" s="21"/>
      <c r="G538" s="64" t="s">
        <v>610</v>
      </c>
      <c r="H538" s="62">
        <f>H539+H560</f>
        <v>49458.6</v>
      </c>
      <c r="I538" s="62">
        <f>I539+I560</f>
        <v>46673.200000000004</v>
      </c>
      <c r="J538" s="62">
        <f>J539+J560</f>
        <v>46468.700000000004</v>
      </c>
    </row>
    <row r="539" spans="1:10" s="37" customFormat="1" ht="38.25">
      <c r="A539" s="27"/>
      <c r="B539" s="70"/>
      <c r="C539" s="16" t="s">
        <v>105</v>
      </c>
      <c r="D539" s="82" t="s">
        <v>94</v>
      </c>
      <c r="E539" s="52" t="s">
        <v>424</v>
      </c>
      <c r="F539" s="35"/>
      <c r="G539" s="46" t="s">
        <v>425</v>
      </c>
      <c r="H539" s="94">
        <f>H540+H553</f>
        <v>49408.6</v>
      </c>
      <c r="I539" s="94">
        <f>I540+I553</f>
        <v>46623.200000000004</v>
      </c>
      <c r="J539" s="94">
        <f>J540+J553</f>
        <v>46468.700000000004</v>
      </c>
    </row>
    <row r="540" spans="1:10" s="37" customFormat="1" ht="51">
      <c r="A540" s="27"/>
      <c r="B540" s="70"/>
      <c r="C540" s="16" t="s">
        <v>105</v>
      </c>
      <c r="D540" s="82" t="s">
        <v>94</v>
      </c>
      <c r="E540" s="21" t="s">
        <v>429</v>
      </c>
      <c r="F540" s="21"/>
      <c r="G540" s="97" t="s">
        <v>426</v>
      </c>
      <c r="H540" s="41">
        <f>H541+H543+H545+H547+H549+H551</f>
        <v>48213.599999999999</v>
      </c>
      <c r="I540" s="41">
        <f>I541+I543+I545+I547+I549+I551</f>
        <v>45428.200000000004</v>
      </c>
      <c r="J540" s="41">
        <f>J541+J543+J545+J547+J549+J551</f>
        <v>45428.200000000004</v>
      </c>
    </row>
    <row r="541" spans="1:10" s="37" customFormat="1" ht="76.5">
      <c r="A541" s="27"/>
      <c r="B541" s="70"/>
      <c r="C541" s="16" t="s">
        <v>105</v>
      </c>
      <c r="D541" s="82" t="s">
        <v>94</v>
      </c>
      <c r="E541" s="57" t="s">
        <v>428</v>
      </c>
      <c r="F541" s="16"/>
      <c r="G541" s="98" t="s">
        <v>427</v>
      </c>
      <c r="H541" s="94">
        <f>H542</f>
        <v>30540.799999999999</v>
      </c>
      <c r="I541" s="94">
        <f>SUM(I542:I544)</f>
        <v>36073.800000000003</v>
      </c>
      <c r="J541" s="94">
        <f>SUM(J542:J544)</f>
        <v>36073.800000000003</v>
      </c>
    </row>
    <row r="542" spans="1:10" s="37" customFormat="1" ht="14.25">
      <c r="A542" s="27"/>
      <c r="B542" s="70"/>
      <c r="C542" s="16" t="s">
        <v>105</v>
      </c>
      <c r="D542" s="82" t="s">
        <v>94</v>
      </c>
      <c r="E542" s="57" t="s">
        <v>428</v>
      </c>
      <c r="F542" s="21" t="s">
        <v>226</v>
      </c>
      <c r="G542" s="98" t="s">
        <v>225</v>
      </c>
      <c r="H542" s="94">
        <f>35352.5+721.3-11440.4+4500-22.4-2.4+1432.2</f>
        <v>30540.799999999999</v>
      </c>
      <c r="I542" s="94">
        <f>35352.5+721.3</f>
        <v>36073.800000000003</v>
      </c>
      <c r="J542" s="94">
        <f>35352.5+721.3</f>
        <v>36073.800000000003</v>
      </c>
    </row>
    <row r="543" spans="1:10" s="37" customFormat="1" ht="39" customHeight="1">
      <c r="A543" s="27"/>
      <c r="B543" s="70"/>
      <c r="C543" s="16" t="s">
        <v>105</v>
      </c>
      <c r="D543" s="82" t="s">
        <v>94</v>
      </c>
      <c r="E543" s="57" t="s">
        <v>721</v>
      </c>
      <c r="F543" s="21"/>
      <c r="G543" s="98" t="s">
        <v>722</v>
      </c>
      <c r="H543" s="94">
        <f>SUM(H544:H544)</f>
        <v>5837.9000000000015</v>
      </c>
      <c r="I543" s="94">
        <f>SUM(I544:I544)</f>
        <v>0</v>
      </c>
      <c r="J543" s="94">
        <f>SUM(J544:J544)</f>
        <v>0</v>
      </c>
    </row>
    <row r="544" spans="1:10" s="37" customFormat="1" ht="14.25">
      <c r="A544" s="27"/>
      <c r="B544" s="70"/>
      <c r="C544" s="16" t="s">
        <v>105</v>
      </c>
      <c r="D544" s="82" t="s">
        <v>94</v>
      </c>
      <c r="E544" s="57" t="s">
        <v>721</v>
      </c>
      <c r="F544" s="21" t="s">
        <v>226</v>
      </c>
      <c r="G544" s="98" t="s">
        <v>225</v>
      </c>
      <c r="H544" s="94">
        <f>329.7+10817.4+155.7-4500-964.9</f>
        <v>5837.9000000000015</v>
      </c>
      <c r="I544" s="94">
        <v>0</v>
      </c>
      <c r="J544" s="94">
        <v>0</v>
      </c>
    </row>
    <row r="545" spans="1:10" s="37" customFormat="1" ht="76.5">
      <c r="A545" s="27"/>
      <c r="B545" s="70"/>
      <c r="C545" s="16" t="s">
        <v>105</v>
      </c>
      <c r="D545" s="82" t="s">
        <v>94</v>
      </c>
      <c r="E545" s="57" t="s">
        <v>430</v>
      </c>
      <c r="F545" s="21"/>
      <c r="G545" s="98" t="s">
        <v>431</v>
      </c>
      <c r="H545" s="94">
        <f>H546</f>
        <v>11479.3</v>
      </c>
      <c r="I545" s="94">
        <f>I546</f>
        <v>9260.7999999999993</v>
      </c>
      <c r="J545" s="94">
        <f>J546</f>
        <v>9260.7999999999993</v>
      </c>
    </row>
    <row r="546" spans="1:10" s="37" customFormat="1" ht="14.25">
      <c r="A546" s="27"/>
      <c r="B546" s="70"/>
      <c r="C546" s="16" t="s">
        <v>105</v>
      </c>
      <c r="D546" s="82" t="s">
        <v>94</v>
      </c>
      <c r="E546" s="57" t="s">
        <v>430</v>
      </c>
      <c r="F546" s="21" t="s">
        <v>226</v>
      </c>
      <c r="G546" s="98" t="s">
        <v>225</v>
      </c>
      <c r="H546" s="133">
        <f>9259.8+1+2218.5</f>
        <v>11479.3</v>
      </c>
      <c r="I546" s="133">
        <f t="shared" ref="I546:J546" si="221">9259.8+1</f>
        <v>9260.7999999999993</v>
      </c>
      <c r="J546" s="133">
        <f t="shared" si="221"/>
        <v>9260.7999999999993</v>
      </c>
    </row>
    <row r="547" spans="1:10" s="37" customFormat="1" ht="76.5">
      <c r="A547" s="27"/>
      <c r="B547" s="70"/>
      <c r="C547" s="16" t="s">
        <v>105</v>
      </c>
      <c r="D547" s="82" t="s">
        <v>94</v>
      </c>
      <c r="E547" s="57" t="s">
        <v>432</v>
      </c>
      <c r="F547" s="57"/>
      <c r="G547" s="98" t="s">
        <v>433</v>
      </c>
      <c r="H547" s="39">
        <f>H548</f>
        <v>116</v>
      </c>
      <c r="I547" s="39">
        <f>I548</f>
        <v>93.6</v>
      </c>
      <c r="J547" s="39">
        <f>J548</f>
        <v>93.6</v>
      </c>
    </row>
    <row r="548" spans="1:10" s="37" customFormat="1" ht="14.25">
      <c r="A548" s="27"/>
      <c r="B548" s="70"/>
      <c r="C548" s="16" t="s">
        <v>105</v>
      </c>
      <c r="D548" s="82" t="s">
        <v>94</v>
      </c>
      <c r="E548" s="21" t="s">
        <v>432</v>
      </c>
      <c r="F548" s="21" t="s">
        <v>226</v>
      </c>
      <c r="G548" s="98" t="s">
        <v>225</v>
      </c>
      <c r="H548" s="41">
        <f>93.6+22.4</f>
        <v>116</v>
      </c>
      <c r="I548" s="41">
        <v>93.6</v>
      </c>
      <c r="J548" s="41">
        <v>93.6</v>
      </c>
    </row>
    <row r="549" spans="1:10" s="37" customFormat="1" ht="51" customHeight="1">
      <c r="A549" s="27"/>
      <c r="B549" s="70"/>
      <c r="C549" s="16" t="s">
        <v>105</v>
      </c>
      <c r="D549" s="82" t="s">
        <v>94</v>
      </c>
      <c r="E549" s="21" t="s">
        <v>775</v>
      </c>
      <c r="F549" s="21"/>
      <c r="G549" s="108" t="s">
        <v>776</v>
      </c>
      <c r="H549" s="41">
        <f>H550</f>
        <v>237.2</v>
      </c>
      <c r="I549" s="41">
        <f t="shared" ref="I549:J549" si="222">I550</f>
        <v>0</v>
      </c>
      <c r="J549" s="41">
        <f t="shared" si="222"/>
        <v>0</v>
      </c>
    </row>
    <row r="550" spans="1:10" s="37" customFormat="1" ht="14.25">
      <c r="A550" s="27"/>
      <c r="B550" s="70"/>
      <c r="C550" s="16" t="s">
        <v>105</v>
      </c>
      <c r="D550" s="82" t="s">
        <v>94</v>
      </c>
      <c r="E550" s="21" t="s">
        <v>775</v>
      </c>
      <c r="F550" s="21" t="s">
        <v>226</v>
      </c>
      <c r="G550" s="98" t="s">
        <v>225</v>
      </c>
      <c r="H550" s="41">
        <v>237.2</v>
      </c>
      <c r="I550" s="41">
        <v>0</v>
      </c>
      <c r="J550" s="41">
        <v>0</v>
      </c>
    </row>
    <row r="551" spans="1:10" s="37" customFormat="1" ht="63.75" customHeight="1">
      <c r="A551" s="27"/>
      <c r="B551" s="70"/>
      <c r="C551" s="16" t="s">
        <v>105</v>
      </c>
      <c r="D551" s="82" t="s">
        <v>94</v>
      </c>
      <c r="E551" s="21" t="s">
        <v>777</v>
      </c>
      <c r="F551" s="21"/>
      <c r="G551" s="108" t="s">
        <v>778</v>
      </c>
      <c r="H551" s="41">
        <f>H552</f>
        <v>2.4</v>
      </c>
      <c r="I551" s="41">
        <f t="shared" ref="I551:J551" si="223">I552</f>
        <v>0</v>
      </c>
      <c r="J551" s="41">
        <f t="shared" si="223"/>
        <v>0</v>
      </c>
    </row>
    <row r="552" spans="1:10" s="37" customFormat="1" ht="14.25">
      <c r="A552" s="27"/>
      <c r="B552" s="70"/>
      <c r="C552" s="16" t="s">
        <v>105</v>
      </c>
      <c r="D552" s="82" t="s">
        <v>94</v>
      </c>
      <c r="E552" s="21" t="s">
        <v>777</v>
      </c>
      <c r="F552" s="21" t="s">
        <v>226</v>
      </c>
      <c r="G552" s="98" t="s">
        <v>225</v>
      </c>
      <c r="H552" s="41">
        <v>2.4</v>
      </c>
      <c r="I552" s="41">
        <v>0</v>
      </c>
      <c r="J552" s="41">
        <v>0</v>
      </c>
    </row>
    <row r="553" spans="1:10" s="37" customFormat="1" ht="38.25">
      <c r="A553" s="27"/>
      <c r="B553" s="70"/>
      <c r="C553" s="16" t="s">
        <v>105</v>
      </c>
      <c r="D553" s="82" t="s">
        <v>94</v>
      </c>
      <c r="E553" s="21" t="s">
        <v>435</v>
      </c>
      <c r="F553" s="82"/>
      <c r="G553" s="97" t="s">
        <v>434</v>
      </c>
      <c r="H553" s="41">
        <f>H554+H556+H558</f>
        <v>1195</v>
      </c>
      <c r="I553" s="41">
        <f t="shared" ref="I553:J553" si="224">I554+I556+I558</f>
        <v>1195</v>
      </c>
      <c r="J553" s="41">
        <f t="shared" si="224"/>
        <v>1040.5</v>
      </c>
    </row>
    <row r="554" spans="1:10" s="37" customFormat="1" ht="51">
      <c r="A554" s="27"/>
      <c r="B554" s="70"/>
      <c r="C554" s="16" t="s">
        <v>105</v>
      </c>
      <c r="D554" s="82" t="s">
        <v>94</v>
      </c>
      <c r="E554" s="57" t="s">
        <v>596</v>
      </c>
      <c r="F554" s="21"/>
      <c r="G554" s="108" t="s">
        <v>436</v>
      </c>
      <c r="H554" s="94">
        <f>H555</f>
        <v>795</v>
      </c>
      <c r="I554" s="94">
        <f t="shared" ref="I554:J554" si="225">I555</f>
        <v>795</v>
      </c>
      <c r="J554" s="94">
        <f t="shared" si="225"/>
        <v>790.5</v>
      </c>
    </row>
    <row r="555" spans="1:10" s="37" customFormat="1" ht="14.25">
      <c r="A555" s="27"/>
      <c r="B555" s="70"/>
      <c r="C555" s="16" t="s">
        <v>105</v>
      </c>
      <c r="D555" s="82" t="s">
        <v>94</v>
      </c>
      <c r="E555" s="57" t="s">
        <v>596</v>
      </c>
      <c r="F555" s="21" t="s">
        <v>226</v>
      </c>
      <c r="G555" s="98" t="s">
        <v>225</v>
      </c>
      <c r="H555" s="94">
        <v>795</v>
      </c>
      <c r="I555" s="94">
        <v>795</v>
      </c>
      <c r="J555" s="94">
        <f>695.5+25+70.2-0.2</f>
        <v>790.5</v>
      </c>
    </row>
    <row r="556" spans="1:10" s="37" customFormat="1" ht="38.25">
      <c r="A556" s="27"/>
      <c r="B556" s="70"/>
      <c r="C556" s="16" t="s">
        <v>105</v>
      </c>
      <c r="D556" s="82" t="s">
        <v>94</v>
      </c>
      <c r="E556" s="57" t="s">
        <v>437</v>
      </c>
      <c r="F556" s="21"/>
      <c r="G556" s="98" t="s">
        <v>184</v>
      </c>
      <c r="H556" s="41">
        <f>H557</f>
        <v>250</v>
      </c>
      <c r="I556" s="41">
        <f t="shared" ref="I556:J556" si="226">I557</f>
        <v>250</v>
      </c>
      <c r="J556" s="41">
        <f t="shared" si="226"/>
        <v>250</v>
      </c>
    </row>
    <row r="557" spans="1:10" s="37" customFormat="1" ht="14.25">
      <c r="A557" s="27"/>
      <c r="B557" s="70"/>
      <c r="C557" s="16" t="s">
        <v>105</v>
      </c>
      <c r="D557" s="82" t="s">
        <v>94</v>
      </c>
      <c r="E557" s="57" t="s">
        <v>437</v>
      </c>
      <c r="F557" s="21" t="s">
        <v>226</v>
      </c>
      <c r="G557" s="98" t="s">
        <v>225</v>
      </c>
      <c r="H557" s="41">
        <v>250</v>
      </c>
      <c r="I557" s="41">
        <v>250</v>
      </c>
      <c r="J557" s="41">
        <v>250</v>
      </c>
    </row>
    <row r="558" spans="1:10" s="37" customFormat="1" ht="38.25">
      <c r="A558" s="27"/>
      <c r="B558" s="70"/>
      <c r="C558" s="16" t="s">
        <v>105</v>
      </c>
      <c r="D558" s="82" t="s">
        <v>94</v>
      </c>
      <c r="E558" s="57" t="s">
        <v>438</v>
      </c>
      <c r="F558" s="21"/>
      <c r="G558" s="98" t="s">
        <v>439</v>
      </c>
      <c r="H558" s="41">
        <f>H559</f>
        <v>150</v>
      </c>
      <c r="I558" s="41">
        <f t="shared" ref="I558:J558" si="227">I559</f>
        <v>150</v>
      </c>
      <c r="J558" s="41">
        <f t="shared" si="227"/>
        <v>0</v>
      </c>
    </row>
    <row r="559" spans="1:10" s="37" customFormat="1" ht="14.25">
      <c r="A559" s="27"/>
      <c r="B559" s="70"/>
      <c r="C559" s="16" t="s">
        <v>105</v>
      </c>
      <c r="D559" s="82" t="s">
        <v>94</v>
      </c>
      <c r="E559" s="57" t="s">
        <v>438</v>
      </c>
      <c r="F559" s="21" t="s">
        <v>226</v>
      </c>
      <c r="G559" s="98" t="s">
        <v>225</v>
      </c>
      <c r="H559" s="41">
        <v>150</v>
      </c>
      <c r="I559" s="41">
        <v>150</v>
      </c>
      <c r="J559" s="41">
        <v>0</v>
      </c>
    </row>
    <row r="560" spans="1:10" s="37" customFormat="1" ht="28.5" customHeight="1">
      <c r="A560" s="27"/>
      <c r="B560" s="70"/>
      <c r="C560" s="47" t="s">
        <v>105</v>
      </c>
      <c r="D560" s="47" t="s">
        <v>94</v>
      </c>
      <c r="E560" s="52" t="s">
        <v>441</v>
      </c>
      <c r="F560" s="82"/>
      <c r="G560" s="46" t="s">
        <v>440</v>
      </c>
      <c r="H560" s="93">
        <f>H561</f>
        <v>50</v>
      </c>
      <c r="I560" s="93">
        <f t="shared" ref="I560:J560" si="228">I561</f>
        <v>50</v>
      </c>
      <c r="J560" s="93">
        <f t="shared" si="228"/>
        <v>0</v>
      </c>
    </row>
    <row r="561" spans="1:10" s="37" customFormat="1" ht="25.5">
      <c r="A561" s="27"/>
      <c r="B561" s="70"/>
      <c r="C561" s="16" t="s">
        <v>105</v>
      </c>
      <c r="D561" s="82" t="s">
        <v>94</v>
      </c>
      <c r="E561" s="21" t="s">
        <v>442</v>
      </c>
      <c r="F561" s="21"/>
      <c r="G561" s="97" t="s">
        <v>484</v>
      </c>
      <c r="H561" s="41">
        <f>H562</f>
        <v>50</v>
      </c>
      <c r="I561" s="41">
        <f t="shared" ref="I561:J561" si="229">I562</f>
        <v>50</v>
      </c>
      <c r="J561" s="41">
        <f t="shared" si="229"/>
        <v>0</v>
      </c>
    </row>
    <row r="562" spans="1:10" s="37" customFormat="1" ht="76.5">
      <c r="A562" s="27"/>
      <c r="B562" s="70"/>
      <c r="C562" s="16" t="s">
        <v>105</v>
      </c>
      <c r="D562" s="82" t="s">
        <v>94</v>
      </c>
      <c r="E562" s="57" t="s">
        <v>590</v>
      </c>
      <c r="F562" s="16"/>
      <c r="G562" s="98" t="s">
        <v>444</v>
      </c>
      <c r="H562" s="41">
        <f>H563</f>
        <v>50</v>
      </c>
      <c r="I562" s="41">
        <f>I563</f>
        <v>50</v>
      </c>
      <c r="J562" s="41">
        <f>J563</f>
        <v>0</v>
      </c>
    </row>
    <row r="563" spans="1:10" s="37" customFormat="1" ht="14.25">
      <c r="A563" s="27"/>
      <c r="B563" s="70"/>
      <c r="C563" s="16" t="s">
        <v>105</v>
      </c>
      <c r="D563" s="82" t="s">
        <v>94</v>
      </c>
      <c r="E563" s="57" t="s">
        <v>590</v>
      </c>
      <c r="F563" s="21" t="s">
        <v>226</v>
      </c>
      <c r="G563" s="98" t="s">
        <v>225</v>
      </c>
      <c r="H563" s="41">
        <v>50</v>
      </c>
      <c r="I563" s="41">
        <v>50</v>
      </c>
      <c r="J563" s="41">
        <v>0</v>
      </c>
    </row>
    <row r="564" spans="1:10" s="37" customFormat="1" ht="38.25">
      <c r="A564" s="27"/>
      <c r="B564" s="70"/>
      <c r="C564" s="82" t="s">
        <v>105</v>
      </c>
      <c r="D564" s="82" t="s">
        <v>94</v>
      </c>
      <c r="E564" s="82" t="s">
        <v>25</v>
      </c>
      <c r="F564" s="82"/>
      <c r="G564" s="99" t="s">
        <v>39</v>
      </c>
      <c r="H564" s="41">
        <f>H565</f>
        <v>150</v>
      </c>
      <c r="I564" s="41">
        <f t="shared" ref="I564:J564" si="230">I565</f>
        <v>0</v>
      </c>
      <c r="J564" s="41">
        <f t="shared" si="230"/>
        <v>0</v>
      </c>
    </row>
    <row r="565" spans="1:10" s="37" customFormat="1" ht="51">
      <c r="A565" s="27"/>
      <c r="B565" s="70"/>
      <c r="C565" s="16" t="s">
        <v>105</v>
      </c>
      <c r="D565" s="82" t="s">
        <v>94</v>
      </c>
      <c r="E565" s="82" t="s">
        <v>607</v>
      </c>
      <c r="F565" s="16"/>
      <c r="G565" s="54" t="s">
        <v>605</v>
      </c>
      <c r="H565" s="41">
        <f>SUM(H566:H566)</f>
        <v>150</v>
      </c>
      <c r="I565" s="41">
        <f>SUM(I566:I566)</f>
        <v>0</v>
      </c>
      <c r="J565" s="41">
        <f>SUM(J566:J566)</f>
        <v>0</v>
      </c>
    </row>
    <row r="566" spans="1:10" s="37" customFormat="1" ht="14.25">
      <c r="A566" s="27"/>
      <c r="B566" s="70"/>
      <c r="C566" s="16" t="s">
        <v>105</v>
      </c>
      <c r="D566" s="82" t="s">
        <v>94</v>
      </c>
      <c r="E566" s="82" t="s">
        <v>607</v>
      </c>
      <c r="F566" s="21" t="s">
        <v>226</v>
      </c>
      <c r="G566" s="98" t="s">
        <v>225</v>
      </c>
      <c r="H566" s="39">
        <v>150</v>
      </c>
      <c r="I566" s="39">
        <v>0</v>
      </c>
      <c r="J566" s="39">
        <v>0</v>
      </c>
    </row>
    <row r="567" spans="1:10" s="36" customFormat="1" ht="38.25">
      <c r="A567" s="27"/>
      <c r="B567" s="70"/>
      <c r="C567" s="35" t="s">
        <v>105</v>
      </c>
      <c r="D567" s="35" t="s">
        <v>96</v>
      </c>
      <c r="E567" s="35"/>
      <c r="F567" s="35"/>
      <c r="G567" s="46" t="s">
        <v>2</v>
      </c>
      <c r="H567" s="42">
        <f t="shared" ref="H567:J568" si="231">H568</f>
        <v>209.2</v>
      </c>
      <c r="I567" s="42">
        <f t="shared" si="231"/>
        <v>250</v>
      </c>
      <c r="J567" s="42">
        <f t="shared" si="231"/>
        <v>250</v>
      </c>
    </row>
    <row r="568" spans="1:10" s="36" customFormat="1" ht="76.5">
      <c r="A568" s="27"/>
      <c r="B568" s="70"/>
      <c r="C568" s="16" t="s">
        <v>105</v>
      </c>
      <c r="D568" s="16" t="s">
        <v>96</v>
      </c>
      <c r="E568" s="21" t="s">
        <v>74</v>
      </c>
      <c r="F568" s="35"/>
      <c r="G568" s="64" t="s">
        <v>610</v>
      </c>
      <c r="H568" s="62">
        <f t="shared" si="231"/>
        <v>209.2</v>
      </c>
      <c r="I568" s="62">
        <f t="shared" si="231"/>
        <v>250</v>
      </c>
      <c r="J568" s="62">
        <f t="shared" si="231"/>
        <v>250</v>
      </c>
    </row>
    <row r="569" spans="1:10" s="36" customFormat="1" ht="28.5" customHeight="1">
      <c r="A569" s="27"/>
      <c r="B569" s="70"/>
      <c r="C569" s="16" t="s">
        <v>105</v>
      </c>
      <c r="D569" s="16" t="s">
        <v>96</v>
      </c>
      <c r="E569" s="52" t="s">
        <v>441</v>
      </c>
      <c r="F569" s="35"/>
      <c r="G569" s="46" t="s">
        <v>440</v>
      </c>
      <c r="H569" s="58">
        <f>H571</f>
        <v>209.2</v>
      </c>
      <c r="I569" s="58">
        <f>I571</f>
        <v>250</v>
      </c>
      <c r="J569" s="58">
        <f>J571</f>
        <v>250</v>
      </c>
    </row>
    <row r="570" spans="1:10" s="36" customFormat="1" ht="38.25">
      <c r="A570" s="27"/>
      <c r="B570" s="70"/>
      <c r="C570" s="16" t="s">
        <v>105</v>
      </c>
      <c r="D570" s="16" t="s">
        <v>96</v>
      </c>
      <c r="E570" s="21" t="s">
        <v>445</v>
      </c>
      <c r="F570" s="21"/>
      <c r="G570" s="97" t="s">
        <v>446</v>
      </c>
      <c r="H570" s="39">
        <f>H571</f>
        <v>209.2</v>
      </c>
      <c r="I570" s="39">
        <f t="shared" ref="I570:J570" si="232">I571</f>
        <v>250</v>
      </c>
      <c r="J570" s="39">
        <f t="shared" si="232"/>
        <v>250</v>
      </c>
    </row>
    <row r="571" spans="1:10" s="36" customFormat="1" ht="38.25">
      <c r="A571" s="27"/>
      <c r="B571" s="70"/>
      <c r="C571" s="16" t="s">
        <v>105</v>
      </c>
      <c r="D571" s="16" t="s">
        <v>96</v>
      </c>
      <c r="E571" s="57" t="s">
        <v>591</v>
      </c>
      <c r="F571" s="16"/>
      <c r="G571" s="98" t="s">
        <v>45</v>
      </c>
      <c r="H571" s="41">
        <f>H572</f>
        <v>209.2</v>
      </c>
      <c r="I571" s="41">
        <f>I572</f>
        <v>250</v>
      </c>
      <c r="J571" s="41">
        <f>J572</f>
        <v>250</v>
      </c>
    </row>
    <row r="572" spans="1:10">
      <c r="A572" s="1"/>
      <c r="B572" s="25"/>
      <c r="C572" s="16" t="s">
        <v>105</v>
      </c>
      <c r="D572" s="16" t="s">
        <v>96</v>
      </c>
      <c r="E572" s="57" t="s">
        <v>591</v>
      </c>
      <c r="F572" s="21" t="s">
        <v>226</v>
      </c>
      <c r="G572" s="98" t="s">
        <v>225</v>
      </c>
      <c r="H572" s="94">
        <f>250-40.8</f>
        <v>209.2</v>
      </c>
      <c r="I572" s="94">
        <v>250</v>
      </c>
      <c r="J572" s="94">
        <v>250</v>
      </c>
    </row>
    <row r="573" spans="1:10" s="37" customFormat="1" ht="14.25">
      <c r="A573" s="27"/>
      <c r="B573" s="70"/>
      <c r="C573" s="35" t="s">
        <v>105</v>
      </c>
      <c r="D573" s="35" t="s">
        <v>100</v>
      </c>
      <c r="E573" s="35"/>
      <c r="F573" s="35"/>
      <c r="G573" s="45" t="s">
        <v>110</v>
      </c>
      <c r="H573" s="42">
        <f t="shared" ref="H573:J573" si="233">H574</f>
        <v>13831.1</v>
      </c>
      <c r="I573" s="42">
        <f t="shared" si="233"/>
        <v>13205.300000000001</v>
      </c>
      <c r="J573" s="42">
        <f t="shared" si="233"/>
        <v>13205.300000000001</v>
      </c>
    </row>
    <row r="574" spans="1:10" s="37" customFormat="1" ht="76.5">
      <c r="A574" s="27"/>
      <c r="B574" s="70"/>
      <c r="C574" s="16" t="s">
        <v>105</v>
      </c>
      <c r="D574" s="16" t="s">
        <v>100</v>
      </c>
      <c r="E574" s="21" t="s">
        <v>74</v>
      </c>
      <c r="F574" s="35"/>
      <c r="G574" s="64" t="s">
        <v>610</v>
      </c>
      <c r="H574" s="62">
        <f>H575+H585+H607</f>
        <v>13831.1</v>
      </c>
      <c r="I574" s="62">
        <f t="shared" ref="I574:J574" si="234">I575+I585+I607</f>
        <v>13205.300000000001</v>
      </c>
      <c r="J574" s="62">
        <f t="shared" si="234"/>
        <v>13205.300000000001</v>
      </c>
    </row>
    <row r="575" spans="1:10" s="37" customFormat="1" ht="40.5" customHeight="1">
      <c r="A575" s="27"/>
      <c r="B575" s="70"/>
      <c r="C575" s="16" t="s">
        <v>105</v>
      </c>
      <c r="D575" s="16" t="s">
        <v>100</v>
      </c>
      <c r="E575" s="52" t="s">
        <v>76</v>
      </c>
      <c r="F575" s="21"/>
      <c r="G575" s="46" t="s">
        <v>597</v>
      </c>
      <c r="H575" s="58">
        <f>H576</f>
        <v>3989.1000000000004</v>
      </c>
      <c r="I575" s="58">
        <f t="shared" ref="I575:J575" si="235">I576</f>
        <v>3725.4</v>
      </c>
      <c r="J575" s="58">
        <f t="shared" si="235"/>
        <v>3725.4</v>
      </c>
    </row>
    <row r="576" spans="1:10" s="37" customFormat="1" ht="51">
      <c r="A576" s="27"/>
      <c r="B576" s="70"/>
      <c r="C576" s="16" t="s">
        <v>105</v>
      </c>
      <c r="D576" s="16" t="s">
        <v>100</v>
      </c>
      <c r="E576" s="21" t="s">
        <v>419</v>
      </c>
      <c r="F576" s="21"/>
      <c r="G576" s="97" t="s">
        <v>420</v>
      </c>
      <c r="H576" s="94">
        <f>H577+H579+H582</f>
        <v>3989.1000000000004</v>
      </c>
      <c r="I576" s="94">
        <f t="shared" ref="I576:J576" si="236">I577+I579+I582</f>
        <v>3725.4</v>
      </c>
      <c r="J576" s="94">
        <f t="shared" si="236"/>
        <v>3725.4</v>
      </c>
    </row>
    <row r="577" spans="1:10" s="37" customFormat="1" ht="14.25">
      <c r="A577" s="27"/>
      <c r="B577" s="70"/>
      <c r="C577" s="16" t="s">
        <v>105</v>
      </c>
      <c r="D577" s="16" t="s">
        <v>100</v>
      </c>
      <c r="E577" s="57" t="s">
        <v>421</v>
      </c>
      <c r="F577" s="21"/>
      <c r="G577" s="98" t="s">
        <v>46</v>
      </c>
      <c r="H577" s="41">
        <f>H578</f>
        <v>1506.9</v>
      </c>
      <c r="I577" s="41">
        <f>I578</f>
        <v>1200.2</v>
      </c>
      <c r="J577" s="41">
        <f>J578</f>
        <v>1200.2</v>
      </c>
    </row>
    <row r="578" spans="1:10" s="37" customFormat="1" ht="14.25">
      <c r="A578" s="27"/>
      <c r="B578" s="70"/>
      <c r="C578" s="16" t="s">
        <v>105</v>
      </c>
      <c r="D578" s="16" t="s">
        <v>100</v>
      </c>
      <c r="E578" s="57" t="s">
        <v>421</v>
      </c>
      <c r="F578" s="21" t="s">
        <v>226</v>
      </c>
      <c r="G578" s="98" t="s">
        <v>225</v>
      </c>
      <c r="H578" s="41">
        <f>1200.2+306.7</f>
        <v>1506.9</v>
      </c>
      <c r="I578" s="41">
        <v>1200.2</v>
      </c>
      <c r="J578" s="41">
        <v>1200.2</v>
      </c>
    </row>
    <row r="579" spans="1:10" s="37" customFormat="1" ht="38.25">
      <c r="A579" s="27"/>
      <c r="B579" s="70"/>
      <c r="C579" s="16" t="s">
        <v>105</v>
      </c>
      <c r="D579" s="16" t="s">
        <v>100</v>
      </c>
      <c r="E579" s="57" t="s">
        <v>423</v>
      </c>
      <c r="F579" s="21"/>
      <c r="G579" s="98" t="s">
        <v>422</v>
      </c>
      <c r="H579" s="41">
        <f>SUM(H580:H581)</f>
        <v>2341.8000000000002</v>
      </c>
      <c r="I579" s="41">
        <f>SUM(I580:I581)</f>
        <v>2341.8000000000002</v>
      </c>
      <c r="J579" s="41">
        <f>SUM(J580:J581)</f>
        <v>2341.8000000000002</v>
      </c>
    </row>
    <row r="580" spans="1:10" s="37" customFormat="1" ht="14.25">
      <c r="A580" s="27"/>
      <c r="B580" s="70"/>
      <c r="C580" s="16" t="s">
        <v>105</v>
      </c>
      <c r="D580" s="16" t="s">
        <v>100</v>
      </c>
      <c r="E580" s="57" t="s">
        <v>423</v>
      </c>
      <c r="F580" s="21" t="s">
        <v>226</v>
      </c>
      <c r="G580" s="98" t="s">
        <v>225</v>
      </c>
      <c r="H580" s="39">
        <v>2141.8000000000002</v>
      </c>
      <c r="I580" s="39">
        <v>2141.8000000000002</v>
      </c>
      <c r="J580" s="39">
        <v>2141.8000000000002</v>
      </c>
    </row>
    <row r="581" spans="1:10" s="37" customFormat="1" ht="63.75">
      <c r="A581" s="27"/>
      <c r="B581" s="70"/>
      <c r="C581" s="16" t="s">
        <v>105</v>
      </c>
      <c r="D581" s="16" t="s">
        <v>100</v>
      </c>
      <c r="E581" s="57" t="s">
        <v>423</v>
      </c>
      <c r="F581" s="16" t="s">
        <v>12</v>
      </c>
      <c r="G581" s="98" t="s">
        <v>372</v>
      </c>
      <c r="H581" s="41">
        <v>200</v>
      </c>
      <c r="I581" s="41">
        <v>200</v>
      </c>
      <c r="J581" s="41">
        <v>200</v>
      </c>
    </row>
    <row r="582" spans="1:10" s="37" customFormat="1" ht="38.25">
      <c r="A582" s="27"/>
      <c r="B582" s="70"/>
      <c r="C582" s="16" t="s">
        <v>105</v>
      </c>
      <c r="D582" s="16" t="s">
        <v>100</v>
      </c>
      <c r="E582" s="57" t="s">
        <v>593</v>
      </c>
      <c r="F582" s="21"/>
      <c r="G582" s="98" t="s">
        <v>135</v>
      </c>
      <c r="H582" s="41">
        <f>SUM(H583:H584)</f>
        <v>140.4</v>
      </c>
      <c r="I582" s="41">
        <f>SUM(I583:I584)</f>
        <v>183.4</v>
      </c>
      <c r="J582" s="41">
        <f>SUM(J583:J584)</f>
        <v>183.4</v>
      </c>
    </row>
    <row r="583" spans="1:10" s="37" customFormat="1" ht="25.5">
      <c r="A583" s="27"/>
      <c r="B583" s="70"/>
      <c r="C583" s="16" t="s">
        <v>105</v>
      </c>
      <c r="D583" s="16" t="s">
        <v>100</v>
      </c>
      <c r="E583" s="57" t="s">
        <v>593</v>
      </c>
      <c r="F583" s="82" t="s">
        <v>65</v>
      </c>
      <c r="G583" s="55" t="s">
        <v>131</v>
      </c>
      <c r="H583" s="41">
        <f>88.5-40-26.8</f>
        <v>21.7</v>
      </c>
      <c r="I583" s="41">
        <v>88.5</v>
      </c>
      <c r="J583" s="41">
        <v>88.5</v>
      </c>
    </row>
    <row r="584" spans="1:10" s="37" customFormat="1" ht="38.25">
      <c r="A584" s="27"/>
      <c r="B584" s="70"/>
      <c r="C584" s="16" t="s">
        <v>105</v>
      </c>
      <c r="D584" s="16" t="s">
        <v>100</v>
      </c>
      <c r="E584" s="57" t="s">
        <v>593</v>
      </c>
      <c r="F584" s="82" t="s">
        <v>212</v>
      </c>
      <c r="G584" s="98" t="s">
        <v>213</v>
      </c>
      <c r="H584" s="41">
        <f>94.9-6.2+30</f>
        <v>118.7</v>
      </c>
      <c r="I584" s="41">
        <v>94.9</v>
      </c>
      <c r="J584" s="41">
        <v>94.9</v>
      </c>
    </row>
    <row r="585" spans="1:10" s="37" customFormat="1" ht="28.5" customHeight="1">
      <c r="A585" s="27"/>
      <c r="B585" s="70"/>
      <c r="C585" s="16" t="s">
        <v>105</v>
      </c>
      <c r="D585" s="16" t="s">
        <v>100</v>
      </c>
      <c r="E585" s="52" t="s">
        <v>441</v>
      </c>
      <c r="F585" s="82"/>
      <c r="G585" s="46" t="s">
        <v>440</v>
      </c>
      <c r="H585" s="41">
        <f>H586+H591+H594+H604</f>
        <v>1309.8999999999999</v>
      </c>
      <c r="I585" s="41">
        <f t="shared" ref="I585:J585" si="237">I586+I591+I594+I604</f>
        <v>1196.2000000000003</v>
      </c>
      <c r="J585" s="41">
        <f t="shared" si="237"/>
        <v>1196.2000000000003</v>
      </c>
    </row>
    <row r="586" spans="1:10" s="37" customFormat="1" ht="25.5">
      <c r="A586" s="27"/>
      <c r="B586" s="70"/>
      <c r="C586" s="16" t="s">
        <v>105</v>
      </c>
      <c r="D586" s="16" t="s">
        <v>100</v>
      </c>
      <c r="E586" s="21" t="s">
        <v>442</v>
      </c>
      <c r="F586" s="21"/>
      <c r="G586" s="97" t="s">
        <v>484</v>
      </c>
      <c r="H586" s="41">
        <f>H587+H589</f>
        <v>235.10000000000002</v>
      </c>
      <c r="I586" s="41">
        <f t="shared" ref="I586:J586" si="238">I587+I589</f>
        <v>258.20000000000005</v>
      </c>
      <c r="J586" s="41">
        <f t="shared" si="238"/>
        <v>258.20000000000005</v>
      </c>
    </row>
    <row r="587" spans="1:10" s="37" customFormat="1" ht="40.5" customHeight="1">
      <c r="A587" s="27"/>
      <c r="B587" s="70"/>
      <c r="C587" s="16" t="s">
        <v>105</v>
      </c>
      <c r="D587" s="16" t="s">
        <v>100</v>
      </c>
      <c r="E587" s="21" t="s">
        <v>594</v>
      </c>
      <c r="F587" s="16"/>
      <c r="G587" s="97" t="s">
        <v>443</v>
      </c>
      <c r="H587" s="39">
        <f>H588</f>
        <v>105.00000000000001</v>
      </c>
      <c r="I587" s="39">
        <f>I588</f>
        <v>134.30000000000001</v>
      </c>
      <c r="J587" s="39">
        <f>J588</f>
        <v>134.30000000000001</v>
      </c>
    </row>
    <row r="588" spans="1:10" s="37" customFormat="1" ht="14.25">
      <c r="A588" s="27"/>
      <c r="B588" s="70"/>
      <c r="C588" s="16" t="s">
        <v>105</v>
      </c>
      <c r="D588" s="16" t="s">
        <v>100</v>
      </c>
      <c r="E588" s="21" t="s">
        <v>594</v>
      </c>
      <c r="F588" s="82" t="s">
        <v>362</v>
      </c>
      <c r="G588" s="98" t="s">
        <v>363</v>
      </c>
      <c r="H588" s="41">
        <f>134.3-29.3</f>
        <v>105.00000000000001</v>
      </c>
      <c r="I588" s="41">
        <v>134.30000000000001</v>
      </c>
      <c r="J588" s="41">
        <v>134.30000000000001</v>
      </c>
    </row>
    <row r="589" spans="1:10" s="37" customFormat="1" ht="38.25">
      <c r="A589" s="27"/>
      <c r="B589" s="70"/>
      <c r="C589" s="16" t="s">
        <v>105</v>
      </c>
      <c r="D589" s="16" t="s">
        <v>100</v>
      </c>
      <c r="E589" s="57" t="s">
        <v>595</v>
      </c>
      <c r="F589" s="16"/>
      <c r="G589" s="98" t="s">
        <v>50</v>
      </c>
      <c r="H589" s="41">
        <f>H590</f>
        <v>130.1</v>
      </c>
      <c r="I589" s="41">
        <f>I590</f>
        <v>123.9</v>
      </c>
      <c r="J589" s="41">
        <f>J590</f>
        <v>123.9</v>
      </c>
    </row>
    <row r="590" spans="1:10" s="37" customFormat="1" ht="38.25">
      <c r="A590" s="27"/>
      <c r="B590" s="70"/>
      <c r="C590" s="16" t="s">
        <v>105</v>
      </c>
      <c r="D590" s="16" t="s">
        <v>100</v>
      </c>
      <c r="E590" s="57" t="s">
        <v>595</v>
      </c>
      <c r="F590" s="82" t="s">
        <v>212</v>
      </c>
      <c r="G590" s="98" t="s">
        <v>213</v>
      </c>
      <c r="H590" s="41">
        <f>123.9+6.2</f>
        <v>130.1</v>
      </c>
      <c r="I590" s="41">
        <v>123.9</v>
      </c>
      <c r="J590" s="41">
        <v>123.9</v>
      </c>
    </row>
    <row r="591" spans="1:10" s="37" customFormat="1" ht="38.25">
      <c r="A591" s="27"/>
      <c r="B591" s="70"/>
      <c r="C591" s="16" t="s">
        <v>105</v>
      </c>
      <c r="D591" s="16" t="s">
        <v>100</v>
      </c>
      <c r="E591" s="21" t="s">
        <v>445</v>
      </c>
      <c r="F591" s="21"/>
      <c r="G591" s="97" t="s">
        <v>446</v>
      </c>
      <c r="H591" s="39">
        <f>H592</f>
        <v>37.499999999999993</v>
      </c>
      <c r="I591" s="39">
        <f t="shared" ref="I591:J591" si="239">I592</f>
        <v>71.099999999999994</v>
      </c>
      <c r="J591" s="39">
        <f t="shared" si="239"/>
        <v>71.099999999999994</v>
      </c>
    </row>
    <row r="592" spans="1:10" s="37" customFormat="1" ht="38.25">
      <c r="A592" s="27"/>
      <c r="B592" s="70"/>
      <c r="C592" s="16" t="s">
        <v>105</v>
      </c>
      <c r="D592" s="16" t="s">
        <v>100</v>
      </c>
      <c r="E592" s="57" t="s">
        <v>592</v>
      </c>
      <c r="F592" s="16"/>
      <c r="G592" s="54" t="s">
        <v>532</v>
      </c>
      <c r="H592" s="94">
        <f>H593</f>
        <v>37.499999999999993</v>
      </c>
      <c r="I592" s="94">
        <f>I593</f>
        <v>71.099999999999994</v>
      </c>
      <c r="J592" s="94">
        <f>J593</f>
        <v>71.099999999999994</v>
      </c>
    </row>
    <row r="593" spans="1:10" s="37" customFormat="1" ht="14.25">
      <c r="A593" s="27"/>
      <c r="B593" s="70"/>
      <c r="C593" s="16" t="s">
        <v>105</v>
      </c>
      <c r="D593" s="16" t="s">
        <v>100</v>
      </c>
      <c r="E593" s="57" t="s">
        <v>592</v>
      </c>
      <c r="F593" s="21" t="s">
        <v>226</v>
      </c>
      <c r="G593" s="98" t="s">
        <v>225</v>
      </c>
      <c r="H593" s="94">
        <f>71.1-15.1-18.5</f>
        <v>37.499999999999993</v>
      </c>
      <c r="I593" s="94">
        <v>71.099999999999994</v>
      </c>
      <c r="J593" s="94">
        <v>71.099999999999994</v>
      </c>
    </row>
    <row r="594" spans="1:10" s="37" customFormat="1" ht="38.25">
      <c r="A594" s="27"/>
      <c r="B594" s="70"/>
      <c r="C594" s="16" t="s">
        <v>105</v>
      </c>
      <c r="D594" s="16" t="s">
        <v>100</v>
      </c>
      <c r="E594" s="21" t="s">
        <v>447</v>
      </c>
      <c r="F594" s="21"/>
      <c r="G594" s="97" t="s">
        <v>448</v>
      </c>
      <c r="H594" s="41">
        <f>H595+H597+H600+H602</f>
        <v>910.5</v>
      </c>
      <c r="I594" s="41">
        <f>I595+I597+I600+I602</f>
        <v>866.90000000000009</v>
      </c>
      <c r="J594" s="41">
        <f>J595+J597+J600+J602</f>
        <v>866.90000000000009</v>
      </c>
    </row>
    <row r="595" spans="1:10" s="37" customFormat="1" ht="63.75">
      <c r="A595" s="27"/>
      <c r="B595" s="70"/>
      <c r="C595" s="16" t="s">
        <v>105</v>
      </c>
      <c r="D595" s="16" t="s">
        <v>100</v>
      </c>
      <c r="E595" s="80">
        <v>140323020</v>
      </c>
      <c r="F595" s="82"/>
      <c r="G595" s="98" t="s">
        <v>134</v>
      </c>
      <c r="H595" s="41">
        <f>H596</f>
        <v>330.20000000000005</v>
      </c>
      <c r="I595" s="41">
        <f>I596</f>
        <v>296.60000000000002</v>
      </c>
      <c r="J595" s="41">
        <f>J596</f>
        <v>296.60000000000002</v>
      </c>
    </row>
    <row r="596" spans="1:10" s="37" customFormat="1" ht="38.25">
      <c r="A596" s="27"/>
      <c r="B596" s="70"/>
      <c r="C596" s="16" t="s">
        <v>105</v>
      </c>
      <c r="D596" s="16" t="s">
        <v>100</v>
      </c>
      <c r="E596" s="80">
        <v>140323020</v>
      </c>
      <c r="F596" s="82" t="s">
        <v>212</v>
      </c>
      <c r="G596" s="98" t="s">
        <v>213</v>
      </c>
      <c r="H596" s="41">
        <f>112+140.5+44.1+15.1+18.5</f>
        <v>330.20000000000005</v>
      </c>
      <c r="I596" s="41">
        <f t="shared" ref="I596:J596" si="240">112+140.5+44.1</f>
        <v>296.60000000000002</v>
      </c>
      <c r="J596" s="41">
        <f t="shared" si="240"/>
        <v>296.60000000000002</v>
      </c>
    </row>
    <row r="597" spans="1:10" s="37" customFormat="1" ht="80.25" customHeight="1">
      <c r="A597" s="27"/>
      <c r="B597" s="70"/>
      <c r="C597" s="16" t="s">
        <v>105</v>
      </c>
      <c r="D597" s="16" t="s">
        <v>100</v>
      </c>
      <c r="E597" s="80">
        <v>140323025</v>
      </c>
      <c r="F597" s="82"/>
      <c r="G597" s="98" t="s">
        <v>449</v>
      </c>
      <c r="H597" s="41">
        <f>SUM(H598:H599)</f>
        <v>332.3</v>
      </c>
      <c r="I597" s="41">
        <f t="shared" ref="I597:J597" si="241">SUM(I598:I599)</f>
        <v>322.3</v>
      </c>
      <c r="J597" s="41">
        <f t="shared" si="241"/>
        <v>322.3</v>
      </c>
    </row>
    <row r="598" spans="1:10" s="37" customFormat="1" ht="38.25">
      <c r="A598" s="27"/>
      <c r="B598" s="70"/>
      <c r="C598" s="16" t="s">
        <v>105</v>
      </c>
      <c r="D598" s="16" t="s">
        <v>100</v>
      </c>
      <c r="E598" s="80">
        <v>140323025</v>
      </c>
      <c r="F598" s="82" t="s">
        <v>212</v>
      </c>
      <c r="G598" s="98" t="s">
        <v>213</v>
      </c>
      <c r="H598" s="41">
        <f>322.3-35-5+10</f>
        <v>292.3</v>
      </c>
      <c r="I598" s="41">
        <f t="shared" ref="I598:J598" si="242">322.3-35</f>
        <v>287.3</v>
      </c>
      <c r="J598" s="41">
        <f t="shared" si="242"/>
        <v>287.3</v>
      </c>
    </row>
    <row r="599" spans="1:10" s="37" customFormat="1" ht="14.25">
      <c r="A599" s="27"/>
      <c r="B599" s="70"/>
      <c r="C599" s="16" t="s">
        <v>105</v>
      </c>
      <c r="D599" s="16" t="s">
        <v>100</v>
      </c>
      <c r="E599" s="80">
        <v>140323025</v>
      </c>
      <c r="F599" s="82" t="s">
        <v>699</v>
      </c>
      <c r="G599" s="98" t="s">
        <v>700</v>
      </c>
      <c r="H599" s="41">
        <f>35+5</f>
        <v>40</v>
      </c>
      <c r="I599" s="41">
        <v>35</v>
      </c>
      <c r="J599" s="41">
        <v>35</v>
      </c>
    </row>
    <row r="600" spans="1:10" s="37" customFormat="1" ht="53.25" customHeight="1">
      <c r="A600" s="27"/>
      <c r="B600" s="70"/>
      <c r="C600" s="16" t="s">
        <v>105</v>
      </c>
      <c r="D600" s="16" t="s">
        <v>100</v>
      </c>
      <c r="E600" s="80" t="s">
        <v>450</v>
      </c>
      <c r="F600" s="82"/>
      <c r="G600" s="98" t="s">
        <v>451</v>
      </c>
      <c r="H600" s="41">
        <f>H601</f>
        <v>45.9</v>
      </c>
      <c r="I600" s="41">
        <f>I601</f>
        <v>45.9</v>
      </c>
      <c r="J600" s="41">
        <f>J601</f>
        <v>45.9</v>
      </c>
    </row>
    <row r="601" spans="1:10" s="37" customFormat="1" ht="38.25">
      <c r="A601" s="27"/>
      <c r="B601" s="70"/>
      <c r="C601" s="16" t="s">
        <v>105</v>
      </c>
      <c r="D601" s="16" t="s">
        <v>100</v>
      </c>
      <c r="E601" s="80" t="s">
        <v>450</v>
      </c>
      <c r="F601" s="82" t="s">
        <v>212</v>
      </c>
      <c r="G601" s="98" t="s">
        <v>213</v>
      </c>
      <c r="H601" s="41">
        <f>90-44.1</f>
        <v>45.9</v>
      </c>
      <c r="I601" s="41">
        <f t="shared" ref="I601:J601" si="243">90-44.1</f>
        <v>45.9</v>
      </c>
      <c r="J601" s="41">
        <f t="shared" si="243"/>
        <v>45.9</v>
      </c>
    </row>
    <row r="602" spans="1:10" s="37" customFormat="1" ht="38.25">
      <c r="A602" s="27"/>
      <c r="B602" s="70"/>
      <c r="C602" s="16" t="s">
        <v>105</v>
      </c>
      <c r="D602" s="16" t="s">
        <v>100</v>
      </c>
      <c r="E602" s="80">
        <v>140311080</v>
      </c>
      <c r="F602" s="82"/>
      <c r="G602" s="98" t="s">
        <v>452</v>
      </c>
      <c r="H602" s="41">
        <f>H603</f>
        <v>202.1</v>
      </c>
      <c r="I602" s="41">
        <f>I603</f>
        <v>202.1</v>
      </c>
      <c r="J602" s="41">
        <f>J603</f>
        <v>202.1</v>
      </c>
    </row>
    <row r="603" spans="1:10" s="37" customFormat="1" ht="38.25">
      <c r="A603" s="27"/>
      <c r="B603" s="70"/>
      <c r="C603" s="16" t="s">
        <v>105</v>
      </c>
      <c r="D603" s="16" t="s">
        <v>100</v>
      </c>
      <c r="E603" s="80">
        <v>140311080</v>
      </c>
      <c r="F603" s="82" t="s">
        <v>212</v>
      </c>
      <c r="G603" s="98" t="s">
        <v>213</v>
      </c>
      <c r="H603" s="39">
        <v>202.1</v>
      </c>
      <c r="I603" s="39">
        <v>202.1</v>
      </c>
      <c r="J603" s="39">
        <v>202.1</v>
      </c>
    </row>
    <row r="604" spans="1:10" s="37" customFormat="1" ht="25.5">
      <c r="A604" s="27"/>
      <c r="B604" s="70"/>
      <c r="C604" s="16" t="s">
        <v>105</v>
      </c>
      <c r="D604" s="16" t="s">
        <v>100</v>
      </c>
      <c r="E604" s="21" t="s">
        <v>749</v>
      </c>
      <c r="F604" s="82"/>
      <c r="G604" s="166" t="s">
        <v>750</v>
      </c>
      <c r="H604" s="39">
        <f>H605</f>
        <v>126.8</v>
      </c>
      <c r="I604" s="39">
        <f t="shared" ref="I604:J604" si="244">I605</f>
        <v>0</v>
      </c>
      <c r="J604" s="39">
        <f t="shared" si="244"/>
        <v>0</v>
      </c>
    </row>
    <row r="605" spans="1:10" s="37" customFormat="1" ht="63.75">
      <c r="A605" s="27"/>
      <c r="B605" s="70"/>
      <c r="C605" s="16" t="s">
        <v>105</v>
      </c>
      <c r="D605" s="16" t="s">
        <v>100</v>
      </c>
      <c r="E605" s="21" t="s">
        <v>747</v>
      </c>
      <c r="F605" s="82"/>
      <c r="G605" s="131" t="s">
        <v>748</v>
      </c>
      <c r="H605" s="39">
        <f>H606</f>
        <v>126.8</v>
      </c>
      <c r="I605" s="39">
        <v>0</v>
      </c>
      <c r="J605" s="39">
        <v>0</v>
      </c>
    </row>
    <row r="606" spans="1:10" s="37" customFormat="1" ht="38.25">
      <c r="A606" s="27"/>
      <c r="B606" s="70"/>
      <c r="C606" s="16" t="s">
        <v>105</v>
      </c>
      <c r="D606" s="16" t="s">
        <v>100</v>
      </c>
      <c r="E606" s="21" t="s">
        <v>747</v>
      </c>
      <c r="F606" s="82" t="s">
        <v>212</v>
      </c>
      <c r="G606" s="98" t="s">
        <v>213</v>
      </c>
      <c r="H606" s="39">
        <f>120+6.8</f>
        <v>126.8</v>
      </c>
      <c r="I606" s="39">
        <v>0</v>
      </c>
      <c r="J606" s="39">
        <v>0</v>
      </c>
    </row>
    <row r="607" spans="1:10" s="37" customFormat="1" ht="14.25">
      <c r="A607" s="27"/>
      <c r="B607" s="70"/>
      <c r="C607" s="16" t="s">
        <v>105</v>
      </c>
      <c r="D607" s="16" t="s">
        <v>100</v>
      </c>
      <c r="E607" s="52" t="s">
        <v>77</v>
      </c>
      <c r="F607" s="16"/>
      <c r="G607" s="66" t="s">
        <v>47</v>
      </c>
      <c r="H607" s="41">
        <f>H608</f>
        <v>8532.1</v>
      </c>
      <c r="I607" s="41">
        <f>I608</f>
        <v>8283.7000000000007</v>
      </c>
      <c r="J607" s="41">
        <f>J608</f>
        <v>8283.7000000000007</v>
      </c>
    </row>
    <row r="608" spans="1:10" s="37" customFormat="1" ht="63.75">
      <c r="A608" s="27"/>
      <c r="B608" s="70"/>
      <c r="C608" s="16" t="s">
        <v>105</v>
      </c>
      <c r="D608" s="16" t="s">
        <v>100</v>
      </c>
      <c r="E608" s="80">
        <v>190022200</v>
      </c>
      <c r="F608" s="82"/>
      <c r="G608" s="98" t="s">
        <v>453</v>
      </c>
      <c r="H608" s="41">
        <f>SUM(H609:H610)</f>
        <v>8532.1</v>
      </c>
      <c r="I608" s="41">
        <f>SUM(I609:I610)</f>
        <v>8283.7000000000007</v>
      </c>
      <c r="J608" s="41">
        <f>SUM(J609:J610)</f>
        <v>8283.7000000000007</v>
      </c>
    </row>
    <row r="609" spans="1:10" s="37" customFormat="1" ht="38.25">
      <c r="A609" s="27"/>
      <c r="B609" s="70"/>
      <c r="C609" s="16" t="s">
        <v>105</v>
      </c>
      <c r="D609" s="16" t="s">
        <v>100</v>
      </c>
      <c r="E609" s="80">
        <v>190022200</v>
      </c>
      <c r="F609" s="16" t="s">
        <v>63</v>
      </c>
      <c r="G609" s="55" t="s">
        <v>64</v>
      </c>
      <c r="H609" s="41">
        <f>4887.2+592.5+1638.9+711.9+248.5</f>
        <v>8079</v>
      </c>
      <c r="I609" s="41">
        <f>4887.2+592.5+1638.9+712</f>
        <v>7830.6</v>
      </c>
      <c r="J609" s="41">
        <f>4887.2+592.5+1638.9+712</f>
        <v>7830.6</v>
      </c>
    </row>
    <row r="610" spans="1:10" s="37" customFormat="1" ht="38.25">
      <c r="A610" s="27"/>
      <c r="B610" s="70"/>
      <c r="C610" s="16" t="s">
        <v>105</v>
      </c>
      <c r="D610" s="16" t="s">
        <v>100</v>
      </c>
      <c r="E610" s="80">
        <v>190022200</v>
      </c>
      <c r="F610" s="82" t="s">
        <v>212</v>
      </c>
      <c r="G610" s="98" t="s">
        <v>213</v>
      </c>
      <c r="H610" s="41">
        <f>453.1</f>
        <v>453.1</v>
      </c>
      <c r="I610" s="41">
        <f t="shared" ref="I610:J610" si="245">453.1</f>
        <v>453.1</v>
      </c>
      <c r="J610" s="41">
        <f t="shared" si="245"/>
        <v>453.1</v>
      </c>
    </row>
    <row r="611" spans="1:10" ht="15.75">
      <c r="A611" s="3"/>
      <c r="B611" s="91"/>
      <c r="C611" s="4" t="s">
        <v>111</v>
      </c>
      <c r="D611" s="3"/>
      <c r="E611" s="3"/>
      <c r="F611" s="3"/>
      <c r="G611" s="49" t="s">
        <v>112</v>
      </c>
      <c r="H611" s="92">
        <f>H612+H618</f>
        <v>14220.1</v>
      </c>
      <c r="I611" s="92">
        <f>I612+I618</f>
        <v>14220.1</v>
      </c>
      <c r="J611" s="92">
        <f>J612+J618</f>
        <v>14220.1</v>
      </c>
    </row>
    <row r="612" spans="1:10" ht="15.75">
      <c r="A612" s="3"/>
      <c r="B612" s="91"/>
      <c r="C612" s="35" t="s">
        <v>111</v>
      </c>
      <c r="D612" s="35" t="s">
        <v>94</v>
      </c>
      <c r="E612" s="35"/>
      <c r="F612" s="35"/>
      <c r="G612" s="45" t="s">
        <v>117</v>
      </c>
      <c r="H612" s="93">
        <f t="shared" ref="H612:J614" si="246">H613</f>
        <v>1152</v>
      </c>
      <c r="I612" s="93">
        <f t="shared" si="246"/>
        <v>1152</v>
      </c>
      <c r="J612" s="93">
        <f t="shared" si="246"/>
        <v>1152</v>
      </c>
    </row>
    <row r="613" spans="1:10" ht="77.25">
      <c r="A613" s="3"/>
      <c r="B613" s="91"/>
      <c r="C613" s="82" t="s">
        <v>111</v>
      </c>
      <c r="D613" s="82" t="s">
        <v>94</v>
      </c>
      <c r="E613" s="21" t="s">
        <v>74</v>
      </c>
      <c r="F613" s="35"/>
      <c r="G613" s="64" t="s">
        <v>610</v>
      </c>
      <c r="H613" s="96">
        <f t="shared" si="246"/>
        <v>1152</v>
      </c>
      <c r="I613" s="96">
        <f t="shared" si="246"/>
        <v>1152</v>
      </c>
      <c r="J613" s="96">
        <f t="shared" si="246"/>
        <v>1152</v>
      </c>
    </row>
    <row r="614" spans="1:10" ht="27.75" customHeight="1">
      <c r="A614" s="3"/>
      <c r="B614" s="91"/>
      <c r="C614" s="47" t="s">
        <v>111</v>
      </c>
      <c r="D614" s="47" t="s">
        <v>94</v>
      </c>
      <c r="E614" s="52" t="s">
        <v>441</v>
      </c>
      <c r="F614" s="82"/>
      <c r="G614" s="46" t="s">
        <v>440</v>
      </c>
      <c r="H614" s="41">
        <f>H615</f>
        <v>1152</v>
      </c>
      <c r="I614" s="41">
        <f t="shared" si="246"/>
        <v>1152</v>
      </c>
      <c r="J614" s="41">
        <f t="shared" si="246"/>
        <v>1152</v>
      </c>
    </row>
    <row r="615" spans="1:10" ht="26.25">
      <c r="A615" s="3"/>
      <c r="B615" s="91"/>
      <c r="C615" s="16" t="s">
        <v>111</v>
      </c>
      <c r="D615" s="16" t="s">
        <v>94</v>
      </c>
      <c r="E615" s="21" t="s">
        <v>442</v>
      </c>
      <c r="F615" s="21"/>
      <c r="G615" s="97" t="s">
        <v>484</v>
      </c>
      <c r="H615" s="41">
        <f>H616</f>
        <v>1152</v>
      </c>
      <c r="I615" s="41">
        <f t="shared" ref="I615:J615" si="247">I616</f>
        <v>1152</v>
      </c>
      <c r="J615" s="41">
        <f t="shared" si="247"/>
        <v>1152</v>
      </c>
    </row>
    <row r="616" spans="1:10" ht="102">
      <c r="A616" s="3"/>
      <c r="B616" s="91"/>
      <c r="C616" s="16" t="s">
        <v>111</v>
      </c>
      <c r="D616" s="16" t="s">
        <v>94</v>
      </c>
      <c r="E616" s="80">
        <v>140210560</v>
      </c>
      <c r="F616" s="82"/>
      <c r="G616" s="98" t="s">
        <v>183</v>
      </c>
      <c r="H616" s="41">
        <f>H617</f>
        <v>1152</v>
      </c>
      <c r="I616" s="41">
        <f>I617</f>
        <v>1152</v>
      </c>
      <c r="J616" s="41">
        <f>J617</f>
        <v>1152</v>
      </c>
    </row>
    <row r="617" spans="1:10" ht="25.5">
      <c r="A617" s="3"/>
      <c r="B617" s="91"/>
      <c r="C617" s="16" t="s">
        <v>111</v>
      </c>
      <c r="D617" s="16" t="s">
        <v>94</v>
      </c>
      <c r="E617" s="80">
        <v>140210560</v>
      </c>
      <c r="F617" s="82" t="s">
        <v>282</v>
      </c>
      <c r="G617" s="98" t="s">
        <v>283</v>
      </c>
      <c r="H617" s="39">
        <v>1152</v>
      </c>
      <c r="I617" s="39">
        <v>1152</v>
      </c>
      <c r="J617" s="39">
        <v>1152</v>
      </c>
    </row>
    <row r="618" spans="1:10" ht="14.25">
      <c r="A618" s="1"/>
      <c r="B618" s="25"/>
      <c r="C618" s="35" t="s">
        <v>111</v>
      </c>
      <c r="D618" s="35" t="s">
        <v>95</v>
      </c>
      <c r="E618" s="35"/>
      <c r="F618" s="38"/>
      <c r="G618" s="50" t="s">
        <v>13</v>
      </c>
      <c r="H618" s="42">
        <f t="shared" ref="H618:J621" si="248">H619</f>
        <v>13068.1</v>
      </c>
      <c r="I618" s="42">
        <f t="shared" si="248"/>
        <v>13068.1</v>
      </c>
      <c r="J618" s="42">
        <f t="shared" si="248"/>
        <v>13068.1</v>
      </c>
    </row>
    <row r="619" spans="1:10" ht="76.5">
      <c r="A619" s="1"/>
      <c r="B619" s="25"/>
      <c r="C619" s="16" t="s">
        <v>111</v>
      </c>
      <c r="D619" s="16" t="s">
        <v>95</v>
      </c>
      <c r="E619" s="21" t="s">
        <v>74</v>
      </c>
      <c r="F619" s="35"/>
      <c r="G619" s="64" t="s">
        <v>610</v>
      </c>
      <c r="H619" s="96">
        <f t="shared" si="248"/>
        <v>13068.1</v>
      </c>
      <c r="I619" s="96">
        <f t="shared" si="248"/>
        <v>13068.1</v>
      </c>
      <c r="J619" s="96">
        <f t="shared" si="248"/>
        <v>13068.1</v>
      </c>
    </row>
    <row r="620" spans="1:10" ht="25.5">
      <c r="A620" s="1"/>
      <c r="B620" s="25"/>
      <c r="C620" s="16" t="s">
        <v>111</v>
      </c>
      <c r="D620" s="16" t="s">
        <v>95</v>
      </c>
      <c r="E620" s="52" t="s">
        <v>75</v>
      </c>
      <c r="F620" s="35"/>
      <c r="G620" s="46" t="s">
        <v>400</v>
      </c>
      <c r="H620" s="93">
        <f t="shared" si="248"/>
        <v>13068.1</v>
      </c>
      <c r="I620" s="93">
        <f t="shared" si="248"/>
        <v>13068.1</v>
      </c>
      <c r="J620" s="93">
        <f t="shared" si="248"/>
        <v>13068.1</v>
      </c>
    </row>
    <row r="621" spans="1:10" ht="25.5">
      <c r="A621" s="1"/>
      <c r="B621" s="25"/>
      <c r="C621" s="16" t="s">
        <v>111</v>
      </c>
      <c r="D621" s="16" t="s">
        <v>95</v>
      </c>
      <c r="E621" s="21" t="s">
        <v>286</v>
      </c>
      <c r="F621" s="21"/>
      <c r="G621" s="97" t="s">
        <v>397</v>
      </c>
      <c r="H621" s="39">
        <f t="shared" si="248"/>
        <v>13068.1</v>
      </c>
      <c r="I621" s="39">
        <f t="shared" si="248"/>
        <v>13068.1</v>
      </c>
      <c r="J621" s="39">
        <f t="shared" si="248"/>
        <v>13068.1</v>
      </c>
    </row>
    <row r="622" spans="1:10" ht="76.5">
      <c r="A622" s="1"/>
      <c r="B622" s="25"/>
      <c r="C622" s="16" t="s">
        <v>111</v>
      </c>
      <c r="D622" s="16" t="s">
        <v>95</v>
      </c>
      <c r="E622" s="57" t="s">
        <v>399</v>
      </c>
      <c r="F622" s="21"/>
      <c r="G622" s="98" t="s">
        <v>398</v>
      </c>
      <c r="H622" s="94">
        <f>H623+H624</f>
        <v>13068.1</v>
      </c>
      <c r="I622" s="94">
        <f>I623+I624</f>
        <v>13068.1</v>
      </c>
      <c r="J622" s="94">
        <f>J623+J624</f>
        <v>13068.1</v>
      </c>
    </row>
    <row r="623" spans="1:10" ht="38.25">
      <c r="A623" s="1"/>
      <c r="B623" s="25"/>
      <c r="C623" s="16" t="s">
        <v>111</v>
      </c>
      <c r="D623" s="16" t="s">
        <v>95</v>
      </c>
      <c r="E623" s="57" t="s">
        <v>399</v>
      </c>
      <c r="F623" s="82" t="s">
        <v>212</v>
      </c>
      <c r="G623" s="98" t="s">
        <v>213</v>
      </c>
      <c r="H623" s="94">
        <v>330</v>
      </c>
      <c r="I623" s="94">
        <v>330</v>
      </c>
      <c r="J623" s="94">
        <v>330</v>
      </c>
    </row>
    <row r="624" spans="1:10" ht="38.25">
      <c r="A624" s="1"/>
      <c r="B624" s="25"/>
      <c r="C624" s="16" t="s">
        <v>111</v>
      </c>
      <c r="D624" s="16" t="s">
        <v>95</v>
      </c>
      <c r="E624" s="57" t="s">
        <v>399</v>
      </c>
      <c r="F624" s="82" t="s">
        <v>263</v>
      </c>
      <c r="G624" s="98" t="s">
        <v>252</v>
      </c>
      <c r="H624" s="94">
        <v>12738.1</v>
      </c>
      <c r="I624" s="94">
        <v>12738.1</v>
      </c>
      <c r="J624" s="94">
        <v>12738.1</v>
      </c>
    </row>
    <row r="625" spans="1:10" s="8" customFormat="1" ht="108">
      <c r="A625" s="3">
        <v>5</v>
      </c>
      <c r="B625" s="91">
        <v>938</v>
      </c>
      <c r="C625" s="13"/>
      <c r="D625" s="13"/>
      <c r="E625" s="13"/>
      <c r="F625" s="13"/>
      <c r="G625" s="14" t="s">
        <v>176</v>
      </c>
      <c r="H625" s="92">
        <f>H626+H633+H685+H732</f>
        <v>117715.5</v>
      </c>
      <c r="I625" s="92">
        <f>I626+I633+I685+I732</f>
        <v>87240.3</v>
      </c>
      <c r="J625" s="92">
        <f>J626+J633+J685+J732</f>
        <v>87240.3</v>
      </c>
    </row>
    <row r="626" spans="1:10" s="8" customFormat="1" ht="45">
      <c r="A626" s="3"/>
      <c r="B626" s="91"/>
      <c r="C626" s="4" t="s">
        <v>94</v>
      </c>
      <c r="D626" s="3"/>
      <c r="E626" s="3"/>
      <c r="F626" s="3"/>
      <c r="G626" s="49" t="s">
        <v>99</v>
      </c>
      <c r="H626" s="92">
        <f>H627</f>
        <v>34</v>
      </c>
      <c r="I626" s="92">
        <f t="shared" ref="I626:J627" si="249">I627</f>
        <v>34</v>
      </c>
      <c r="J626" s="92">
        <f t="shared" si="249"/>
        <v>34</v>
      </c>
    </row>
    <row r="627" spans="1:10" s="8" customFormat="1" ht="39">
      <c r="A627" s="3"/>
      <c r="B627" s="91"/>
      <c r="C627" s="28" t="s">
        <v>94</v>
      </c>
      <c r="D627" s="28" t="s">
        <v>122</v>
      </c>
      <c r="E627" s="28"/>
      <c r="F627" s="34"/>
      <c r="G627" s="46" t="s">
        <v>22</v>
      </c>
      <c r="H627" s="40">
        <f>H628</f>
        <v>34</v>
      </c>
      <c r="I627" s="40">
        <f t="shared" si="249"/>
        <v>34</v>
      </c>
      <c r="J627" s="40">
        <f t="shared" si="249"/>
        <v>34</v>
      </c>
    </row>
    <row r="628" spans="1:10" s="8" customFormat="1" ht="90">
      <c r="A628" s="3"/>
      <c r="B628" s="91"/>
      <c r="C628" s="21" t="s">
        <v>94</v>
      </c>
      <c r="D628" s="21" t="s">
        <v>122</v>
      </c>
      <c r="E628" s="73" t="s">
        <v>72</v>
      </c>
      <c r="F628" s="16"/>
      <c r="G628" s="53" t="s">
        <v>621</v>
      </c>
      <c r="H628" s="96">
        <f t="shared" ref="H628:J631" si="250">H629</f>
        <v>34</v>
      </c>
      <c r="I628" s="96">
        <f t="shared" si="250"/>
        <v>34</v>
      </c>
      <c r="J628" s="96">
        <f t="shared" si="250"/>
        <v>34</v>
      </c>
    </row>
    <row r="629" spans="1:10" s="8" customFormat="1" ht="51">
      <c r="A629" s="3"/>
      <c r="B629" s="91"/>
      <c r="C629" s="21" t="s">
        <v>94</v>
      </c>
      <c r="D629" s="21" t="s">
        <v>122</v>
      </c>
      <c r="E629" s="52" t="s">
        <v>73</v>
      </c>
      <c r="F629" s="16"/>
      <c r="G629" s="60" t="s">
        <v>188</v>
      </c>
      <c r="H629" s="58">
        <f t="shared" si="250"/>
        <v>34</v>
      </c>
      <c r="I629" s="58">
        <f t="shared" si="250"/>
        <v>34</v>
      </c>
      <c r="J629" s="58">
        <f t="shared" si="250"/>
        <v>34</v>
      </c>
    </row>
    <row r="630" spans="1:10" s="8" customFormat="1" ht="38.25">
      <c r="A630" s="3"/>
      <c r="B630" s="91"/>
      <c r="C630" s="21" t="s">
        <v>94</v>
      </c>
      <c r="D630" s="21" t="s">
        <v>122</v>
      </c>
      <c r="E630" s="21" t="s">
        <v>227</v>
      </c>
      <c r="F630" s="82"/>
      <c r="G630" s="98" t="s">
        <v>344</v>
      </c>
      <c r="H630" s="41">
        <f t="shared" si="250"/>
        <v>34</v>
      </c>
      <c r="I630" s="41">
        <f t="shared" si="250"/>
        <v>34</v>
      </c>
      <c r="J630" s="41">
        <f t="shared" si="250"/>
        <v>34</v>
      </c>
    </row>
    <row r="631" spans="1:10" s="8" customFormat="1" ht="63.75">
      <c r="A631" s="3"/>
      <c r="B631" s="91"/>
      <c r="C631" s="21" t="s">
        <v>94</v>
      </c>
      <c r="D631" s="21" t="s">
        <v>122</v>
      </c>
      <c r="E631" s="21" t="s">
        <v>534</v>
      </c>
      <c r="F631" s="16"/>
      <c r="G631" s="98" t="s">
        <v>345</v>
      </c>
      <c r="H631" s="41">
        <f t="shared" si="250"/>
        <v>34</v>
      </c>
      <c r="I631" s="41">
        <f t="shared" si="250"/>
        <v>34</v>
      </c>
      <c r="J631" s="41">
        <f t="shared" si="250"/>
        <v>34</v>
      </c>
    </row>
    <row r="632" spans="1:10" s="8" customFormat="1" ht="25.5">
      <c r="A632" s="3"/>
      <c r="B632" s="91"/>
      <c r="C632" s="21" t="s">
        <v>94</v>
      </c>
      <c r="D632" s="21" t="s">
        <v>122</v>
      </c>
      <c r="E632" s="21" t="s">
        <v>534</v>
      </c>
      <c r="F632" s="82" t="s">
        <v>65</v>
      </c>
      <c r="G632" s="55" t="s">
        <v>131</v>
      </c>
      <c r="H632" s="41">
        <v>34</v>
      </c>
      <c r="I632" s="41">
        <v>34</v>
      </c>
      <c r="J632" s="41">
        <v>34</v>
      </c>
    </row>
    <row r="633" spans="1:10" ht="15.75">
      <c r="A633" s="3"/>
      <c r="B633" s="91"/>
      <c r="C633" s="4" t="s">
        <v>105</v>
      </c>
      <c r="D633" s="3"/>
      <c r="E633" s="3"/>
      <c r="F633" s="3"/>
      <c r="G633" s="49" t="s">
        <v>106</v>
      </c>
      <c r="H633" s="92">
        <f>H634+H654</f>
        <v>26916</v>
      </c>
      <c r="I633" s="92">
        <f>I634+I654</f>
        <v>22982.199999999997</v>
      </c>
      <c r="J633" s="92">
        <f>J634+J654</f>
        <v>22982.199999999997</v>
      </c>
    </row>
    <row r="634" spans="1:10" s="37" customFormat="1" ht="14.25">
      <c r="A634" s="27"/>
      <c r="B634" s="70"/>
      <c r="C634" s="35" t="s">
        <v>105</v>
      </c>
      <c r="D634" s="35" t="s">
        <v>94</v>
      </c>
      <c r="E634" s="35"/>
      <c r="F634" s="35"/>
      <c r="G634" s="45" t="s">
        <v>157</v>
      </c>
      <c r="H634" s="42">
        <f>H635+H651</f>
        <v>16101.7</v>
      </c>
      <c r="I634" s="42">
        <f>I635+I651</f>
        <v>15144.999999999998</v>
      </c>
      <c r="J634" s="42">
        <f>J635+J651</f>
        <v>15144.999999999998</v>
      </c>
    </row>
    <row r="635" spans="1:10" s="37" customFormat="1" ht="90">
      <c r="A635" s="27"/>
      <c r="B635" s="70"/>
      <c r="C635" s="16" t="s">
        <v>105</v>
      </c>
      <c r="D635" s="82" t="s">
        <v>94</v>
      </c>
      <c r="E635" s="73" t="s">
        <v>60</v>
      </c>
      <c r="F635" s="35"/>
      <c r="G635" s="53" t="s">
        <v>611</v>
      </c>
      <c r="H635" s="65">
        <f t="shared" ref="H635:J635" si="251">H636</f>
        <v>15906.7</v>
      </c>
      <c r="I635" s="65">
        <f t="shared" si="251"/>
        <v>15144.999999999998</v>
      </c>
      <c r="J635" s="65">
        <f t="shared" si="251"/>
        <v>15144.999999999998</v>
      </c>
    </row>
    <row r="636" spans="1:10" s="37" customFormat="1" ht="25.5">
      <c r="A636" s="27"/>
      <c r="B636" s="70"/>
      <c r="C636" s="16" t="s">
        <v>105</v>
      </c>
      <c r="D636" s="82" t="s">
        <v>94</v>
      </c>
      <c r="E636" s="52" t="s">
        <v>61</v>
      </c>
      <c r="F636" s="35"/>
      <c r="G636" s="48" t="s">
        <v>172</v>
      </c>
      <c r="H636" s="58">
        <f>H637+H648</f>
        <v>15906.7</v>
      </c>
      <c r="I636" s="58">
        <f t="shared" ref="I636:J636" si="252">I637+I648</f>
        <v>15144.999999999998</v>
      </c>
      <c r="J636" s="58">
        <f t="shared" si="252"/>
        <v>15144.999999999998</v>
      </c>
    </row>
    <row r="637" spans="1:10" s="37" customFormat="1" ht="25.5">
      <c r="A637" s="27"/>
      <c r="B637" s="70"/>
      <c r="C637" s="16" t="s">
        <v>105</v>
      </c>
      <c r="D637" s="82" t="s">
        <v>94</v>
      </c>
      <c r="E637" s="21" t="s">
        <v>255</v>
      </c>
      <c r="F637" s="21"/>
      <c r="G637" s="101" t="s">
        <v>455</v>
      </c>
      <c r="H637" s="39">
        <f>H638+H640+H642+H644+H646</f>
        <v>15669.5</v>
      </c>
      <c r="I637" s="39">
        <f t="shared" ref="I637:J637" si="253">I638+I640+I642+I644+I646</f>
        <v>15144.999999999998</v>
      </c>
      <c r="J637" s="39">
        <f t="shared" si="253"/>
        <v>15144.999999999998</v>
      </c>
    </row>
    <row r="638" spans="1:10" s="20" customFormat="1" ht="25.5" customHeight="1">
      <c r="A638" s="18"/>
      <c r="B638" s="71"/>
      <c r="C638" s="16" t="s">
        <v>105</v>
      </c>
      <c r="D638" s="82" t="s">
        <v>94</v>
      </c>
      <c r="E638" s="74">
        <v>210221100</v>
      </c>
      <c r="F638" s="16"/>
      <c r="G638" s="99" t="s">
        <v>174</v>
      </c>
      <c r="H638" s="39">
        <f>H639</f>
        <v>10757.400000000001</v>
      </c>
      <c r="I638" s="39">
        <f>I639</f>
        <v>11353.199999999999</v>
      </c>
      <c r="J638" s="39">
        <f>J639</f>
        <v>11353.199999999999</v>
      </c>
    </row>
    <row r="639" spans="1:10">
      <c r="A639" s="1"/>
      <c r="B639" s="25"/>
      <c r="C639" s="16" t="s">
        <v>105</v>
      </c>
      <c r="D639" s="82" t="s">
        <v>94</v>
      </c>
      <c r="E639" s="74">
        <v>210221100</v>
      </c>
      <c r="F639" s="21" t="s">
        <v>226</v>
      </c>
      <c r="G639" s="98" t="s">
        <v>225</v>
      </c>
      <c r="H639" s="1">
        <f>10427.2-6.1+236+111.5-10.4-0.8</f>
        <v>10757.400000000001</v>
      </c>
      <c r="I639" s="1">
        <f>11359.3-6.1</f>
        <v>11353.199999999999</v>
      </c>
      <c r="J639" s="1">
        <f>11359.3-6.1</f>
        <v>11353.199999999999</v>
      </c>
    </row>
    <row r="640" spans="1:10" ht="76.5">
      <c r="A640" s="1"/>
      <c r="B640" s="25"/>
      <c r="C640" s="16" t="s">
        <v>105</v>
      </c>
      <c r="D640" s="82" t="s">
        <v>94</v>
      </c>
      <c r="E640" s="74">
        <v>210210690</v>
      </c>
      <c r="F640" s="21"/>
      <c r="G640" s="98" t="s">
        <v>320</v>
      </c>
      <c r="H640" s="39">
        <f>H641</f>
        <v>4781.3999999999996</v>
      </c>
      <c r="I640" s="39">
        <f>I641</f>
        <v>3753.9</v>
      </c>
      <c r="J640" s="39">
        <f>J641</f>
        <v>3753.9</v>
      </c>
    </row>
    <row r="641" spans="1:10">
      <c r="A641" s="1"/>
      <c r="B641" s="25"/>
      <c r="C641" s="16" t="s">
        <v>105</v>
      </c>
      <c r="D641" s="82" t="s">
        <v>94</v>
      </c>
      <c r="E641" s="74">
        <v>210210690</v>
      </c>
      <c r="F641" s="21" t="s">
        <v>226</v>
      </c>
      <c r="G641" s="98" t="s">
        <v>225</v>
      </c>
      <c r="H641" s="133">
        <f>3753.9+1027.5</f>
        <v>4781.3999999999996</v>
      </c>
      <c r="I641" s="133">
        <v>3753.9</v>
      </c>
      <c r="J641" s="133">
        <v>3753.9</v>
      </c>
    </row>
    <row r="642" spans="1:10" ht="63.75">
      <c r="A642" s="1"/>
      <c r="B642" s="25"/>
      <c r="C642" s="16" t="s">
        <v>105</v>
      </c>
      <c r="D642" s="82" t="s">
        <v>94</v>
      </c>
      <c r="E642" s="74" t="s">
        <v>456</v>
      </c>
      <c r="F642" s="82"/>
      <c r="G642" s="98" t="s">
        <v>321</v>
      </c>
      <c r="H642" s="39">
        <f>SUM(H643:H643)</f>
        <v>48.3</v>
      </c>
      <c r="I642" s="39">
        <f>SUM(I643:I643)</f>
        <v>37.9</v>
      </c>
      <c r="J642" s="39">
        <f>SUM(J643:J643)</f>
        <v>37.9</v>
      </c>
    </row>
    <row r="643" spans="1:10">
      <c r="A643" s="1"/>
      <c r="B643" s="25"/>
      <c r="C643" s="16" t="s">
        <v>105</v>
      </c>
      <c r="D643" s="82" t="s">
        <v>94</v>
      </c>
      <c r="E643" s="74" t="s">
        <v>456</v>
      </c>
      <c r="F643" s="21" t="s">
        <v>226</v>
      </c>
      <c r="G643" s="98" t="s">
        <v>225</v>
      </c>
      <c r="H643" s="39">
        <f>31.8+6.1+10.4</f>
        <v>48.3</v>
      </c>
      <c r="I643" s="39">
        <f t="shared" ref="I643:J643" si="254">31.8+6.1</f>
        <v>37.9</v>
      </c>
      <c r="J643" s="39">
        <f t="shared" si="254"/>
        <v>37.9</v>
      </c>
    </row>
    <row r="644" spans="1:10" ht="63.75">
      <c r="A644" s="1"/>
      <c r="B644" s="25"/>
      <c r="C644" s="16" t="s">
        <v>105</v>
      </c>
      <c r="D644" s="82" t="s">
        <v>94</v>
      </c>
      <c r="E644" s="74">
        <v>210211390</v>
      </c>
      <c r="F644" s="170"/>
      <c r="G644" s="174" t="s">
        <v>779</v>
      </c>
      <c r="H644" s="171">
        <f>H645</f>
        <v>81.599999999999994</v>
      </c>
      <c r="I644" s="39">
        <f t="shared" ref="I644:J644" si="255">I645</f>
        <v>0</v>
      </c>
      <c r="J644" s="39">
        <f t="shared" si="255"/>
        <v>0</v>
      </c>
    </row>
    <row r="645" spans="1:10">
      <c r="A645" s="1"/>
      <c r="B645" s="25"/>
      <c r="C645" s="82" t="s">
        <v>105</v>
      </c>
      <c r="D645" s="82" t="s">
        <v>94</v>
      </c>
      <c r="E645" s="74">
        <v>210211390</v>
      </c>
      <c r="F645" s="21" t="s">
        <v>226</v>
      </c>
      <c r="G645" s="173" t="s">
        <v>225</v>
      </c>
      <c r="H645" s="39">
        <v>81.599999999999994</v>
      </c>
      <c r="I645" s="39">
        <v>0</v>
      </c>
      <c r="J645" s="39">
        <v>0</v>
      </c>
    </row>
    <row r="646" spans="1:10" ht="76.5">
      <c r="A646" s="1"/>
      <c r="B646" s="25"/>
      <c r="C646" s="16" t="s">
        <v>105</v>
      </c>
      <c r="D646" s="82" t="s">
        <v>94</v>
      </c>
      <c r="E646" s="74" t="s">
        <v>780</v>
      </c>
      <c r="F646" s="21"/>
      <c r="G646" s="108" t="s">
        <v>781</v>
      </c>
      <c r="H646" s="39">
        <f>H647</f>
        <v>0.8</v>
      </c>
      <c r="I646" s="39">
        <f t="shared" ref="I646:J646" si="256">I647</f>
        <v>0</v>
      </c>
      <c r="J646" s="39">
        <f t="shared" si="256"/>
        <v>0</v>
      </c>
    </row>
    <row r="647" spans="1:10">
      <c r="A647" s="1"/>
      <c r="B647" s="25"/>
      <c r="C647" s="82" t="s">
        <v>105</v>
      </c>
      <c r="D647" s="82" t="s">
        <v>94</v>
      </c>
      <c r="E647" s="74" t="s">
        <v>780</v>
      </c>
      <c r="F647" s="21" t="s">
        <v>226</v>
      </c>
      <c r="G647" s="98" t="s">
        <v>225</v>
      </c>
      <c r="H647" s="39">
        <v>0.8</v>
      </c>
      <c r="I647" s="39">
        <v>0</v>
      </c>
      <c r="J647" s="39">
        <v>0</v>
      </c>
    </row>
    <row r="648" spans="1:10" ht="42" customHeight="1">
      <c r="A648" s="1"/>
      <c r="B648" s="25"/>
      <c r="C648" s="16" t="s">
        <v>105</v>
      </c>
      <c r="D648" s="82" t="s">
        <v>94</v>
      </c>
      <c r="E648" s="21" t="s">
        <v>669</v>
      </c>
      <c r="F648" s="82"/>
      <c r="G648" s="101" t="s">
        <v>670</v>
      </c>
      <c r="H648" s="41">
        <f>H649</f>
        <v>237.2</v>
      </c>
      <c r="I648" s="41">
        <f t="shared" ref="I648:J649" si="257">I649</f>
        <v>0</v>
      </c>
      <c r="J648" s="41">
        <f t="shared" si="257"/>
        <v>0</v>
      </c>
    </row>
    <row r="649" spans="1:10" ht="25.5">
      <c r="A649" s="1"/>
      <c r="B649" s="25"/>
      <c r="C649" s="16" t="s">
        <v>105</v>
      </c>
      <c r="D649" s="82" t="s">
        <v>94</v>
      </c>
      <c r="E649" s="21" t="s">
        <v>701</v>
      </c>
      <c r="F649" s="82"/>
      <c r="G649" s="98" t="s">
        <v>667</v>
      </c>
      <c r="H649" s="41">
        <f>H650</f>
        <v>237.2</v>
      </c>
      <c r="I649" s="41">
        <f t="shared" si="257"/>
        <v>0</v>
      </c>
      <c r="J649" s="41">
        <f t="shared" si="257"/>
        <v>0</v>
      </c>
    </row>
    <row r="650" spans="1:10">
      <c r="A650" s="1"/>
      <c r="B650" s="25"/>
      <c r="C650" s="16" t="s">
        <v>105</v>
      </c>
      <c r="D650" s="82" t="s">
        <v>94</v>
      </c>
      <c r="E650" s="21" t="s">
        <v>701</v>
      </c>
      <c r="F650" s="21" t="s">
        <v>226</v>
      </c>
      <c r="G650" s="98" t="s">
        <v>225</v>
      </c>
      <c r="H650" s="41">
        <v>237.2</v>
      </c>
      <c r="I650" s="41">
        <v>0</v>
      </c>
      <c r="J650" s="41">
        <v>0</v>
      </c>
    </row>
    <row r="651" spans="1:10" ht="38.25">
      <c r="A651" s="1"/>
      <c r="B651" s="25"/>
      <c r="C651" s="82" t="s">
        <v>105</v>
      </c>
      <c r="D651" s="82" t="s">
        <v>94</v>
      </c>
      <c r="E651" s="82" t="s">
        <v>25</v>
      </c>
      <c r="F651" s="82"/>
      <c r="G651" s="99" t="s">
        <v>39</v>
      </c>
      <c r="H651" s="41">
        <f>H652</f>
        <v>195</v>
      </c>
      <c r="I651" s="41">
        <f t="shared" ref="I651:J651" si="258">I652</f>
        <v>0</v>
      </c>
      <c r="J651" s="41">
        <f t="shared" si="258"/>
        <v>0</v>
      </c>
    </row>
    <row r="652" spans="1:10" ht="51">
      <c r="A652" s="1"/>
      <c r="B652" s="25"/>
      <c r="C652" s="16" t="s">
        <v>105</v>
      </c>
      <c r="D652" s="82" t="s">
        <v>94</v>
      </c>
      <c r="E652" s="82" t="s">
        <v>607</v>
      </c>
      <c r="F652" s="16"/>
      <c r="G652" s="54" t="s">
        <v>605</v>
      </c>
      <c r="H652" s="41">
        <f>SUM(H653:H653)</f>
        <v>195</v>
      </c>
      <c r="I652" s="41">
        <f>SUM(I653:I653)</f>
        <v>0</v>
      </c>
      <c r="J652" s="41">
        <f>SUM(J653:J653)</f>
        <v>0</v>
      </c>
    </row>
    <row r="653" spans="1:10">
      <c r="A653" s="1"/>
      <c r="B653" s="25"/>
      <c r="C653" s="16" t="s">
        <v>105</v>
      </c>
      <c r="D653" s="82" t="s">
        <v>94</v>
      </c>
      <c r="E653" s="82" t="s">
        <v>607</v>
      </c>
      <c r="F653" s="21" t="s">
        <v>226</v>
      </c>
      <c r="G653" s="98" t="s">
        <v>225</v>
      </c>
      <c r="H653" s="39">
        <v>195</v>
      </c>
      <c r="I653" s="39">
        <v>0</v>
      </c>
      <c r="J653" s="39">
        <v>0</v>
      </c>
    </row>
    <row r="654" spans="1:10" s="37" customFormat="1" ht="14.25">
      <c r="A654" s="27"/>
      <c r="B654" s="70"/>
      <c r="C654" s="35" t="s">
        <v>105</v>
      </c>
      <c r="D654" s="35" t="s">
        <v>105</v>
      </c>
      <c r="E654" s="35"/>
      <c r="F654" s="35"/>
      <c r="G654" s="46" t="s">
        <v>156</v>
      </c>
      <c r="H654" s="42">
        <f>H655+H672</f>
        <v>10814.300000000001</v>
      </c>
      <c r="I654" s="42">
        <f t="shared" ref="I654:J654" si="259">I655+I672</f>
        <v>7837.2</v>
      </c>
      <c r="J654" s="42">
        <f t="shared" si="259"/>
        <v>7837.2</v>
      </c>
    </row>
    <row r="655" spans="1:10" s="37" customFormat="1" ht="90">
      <c r="A655" s="27"/>
      <c r="B655" s="70"/>
      <c r="C655" s="16" t="s">
        <v>105</v>
      </c>
      <c r="D655" s="16" t="s">
        <v>105</v>
      </c>
      <c r="E655" s="73" t="s">
        <v>60</v>
      </c>
      <c r="F655" s="35"/>
      <c r="G655" s="53" t="s">
        <v>611</v>
      </c>
      <c r="H655" s="65">
        <f>H656</f>
        <v>10604.300000000001</v>
      </c>
      <c r="I655" s="65">
        <f t="shared" ref="I655:J655" si="260">I656</f>
        <v>7787.2</v>
      </c>
      <c r="J655" s="65">
        <f t="shared" si="260"/>
        <v>7787.2</v>
      </c>
    </row>
    <row r="656" spans="1:10" ht="25.5">
      <c r="A656" s="1"/>
      <c r="B656" s="25"/>
      <c r="C656" s="16" t="s">
        <v>105</v>
      </c>
      <c r="D656" s="16" t="s">
        <v>105</v>
      </c>
      <c r="E656" s="52" t="s">
        <v>31</v>
      </c>
      <c r="F656" s="21"/>
      <c r="G656" s="48" t="s">
        <v>178</v>
      </c>
      <c r="H656" s="41">
        <f>H657+H666+H669</f>
        <v>10604.300000000001</v>
      </c>
      <c r="I656" s="41">
        <f t="shared" ref="I656:J656" si="261">I657+I666+I669</f>
        <v>7787.2</v>
      </c>
      <c r="J656" s="41">
        <f t="shared" si="261"/>
        <v>7787.2</v>
      </c>
    </row>
    <row r="657" spans="1:10" ht="38.25">
      <c r="A657" s="1"/>
      <c r="B657" s="25"/>
      <c r="C657" s="16" t="s">
        <v>105</v>
      </c>
      <c r="D657" s="16" t="s">
        <v>105</v>
      </c>
      <c r="E657" s="21" t="s">
        <v>210</v>
      </c>
      <c r="F657" s="16"/>
      <c r="G657" s="101" t="s">
        <v>312</v>
      </c>
      <c r="H657" s="41">
        <f>H658+H660+H662+H664</f>
        <v>357.20000000000005</v>
      </c>
      <c r="I657" s="41">
        <f>I658+I660+I662+I664</f>
        <v>361.20000000000005</v>
      </c>
      <c r="J657" s="41">
        <f>J658+J660+J662+J664</f>
        <v>361.20000000000005</v>
      </c>
    </row>
    <row r="658" spans="1:10" ht="51">
      <c r="A658" s="1"/>
      <c r="B658" s="25"/>
      <c r="C658" s="16" t="s">
        <v>105</v>
      </c>
      <c r="D658" s="16" t="s">
        <v>105</v>
      </c>
      <c r="E658" s="136" t="s">
        <v>468</v>
      </c>
      <c r="F658" s="16"/>
      <c r="G658" s="100" t="s">
        <v>207</v>
      </c>
      <c r="H658" s="39">
        <f>H659</f>
        <v>6.6</v>
      </c>
      <c r="I658" s="39">
        <f>I659</f>
        <v>6.6</v>
      </c>
      <c r="J658" s="39">
        <f>J659</f>
        <v>6.6</v>
      </c>
    </row>
    <row r="659" spans="1:10" ht="38.25">
      <c r="A659" s="1"/>
      <c r="B659" s="25"/>
      <c r="C659" s="16" t="s">
        <v>105</v>
      </c>
      <c r="D659" s="16" t="s">
        <v>105</v>
      </c>
      <c r="E659" s="136" t="s">
        <v>468</v>
      </c>
      <c r="F659" s="82" t="s">
        <v>212</v>
      </c>
      <c r="G659" s="98" t="s">
        <v>213</v>
      </c>
      <c r="H659" s="41">
        <v>6.6</v>
      </c>
      <c r="I659" s="41">
        <v>6.6</v>
      </c>
      <c r="J659" s="41">
        <v>6.6</v>
      </c>
    </row>
    <row r="660" spans="1:10" ht="25.5">
      <c r="A660" s="1"/>
      <c r="B660" s="25"/>
      <c r="C660" s="16" t="s">
        <v>105</v>
      </c>
      <c r="D660" s="16" t="s">
        <v>105</v>
      </c>
      <c r="E660" s="136" t="s">
        <v>469</v>
      </c>
      <c r="F660" s="16"/>
      <c r="G660" s="98" t="s">
        <v>179</v>
      </c>
      <c r="H660" s="41">
        <f>H661</f>
        <v>300.60000000000002</v>
      </c>
      <c r="I660" s="41">
        <f>I661</f>
        <v>289.60000000000002</v>
      </c>
      <c r="J660" s="41">
        <f>J661</f>
        <v>289.60000000000002</v>
      </c>
    </row>
    <row r="661" spans="1:10" ht="38.25">
      <c r="A661" s="1"/>
      <c r="B661" s="25"/>
      <c r="C661" s="16" t="s">
        <v>105</v>
      </c>
      <c r="D661" s="16" t="s">
        <v>105</v>
      </c>
      <c r="E661" s="136" t="s">
        <v>469</v>
      </c>
      <c r="F661" s="82" t="s">
        <v>212</v>
      </c>
      <c r="G661" s="98" t="s">
        <v>213</v>
      </c>
      <c r="H661" s="41">
        <f>289.6-4+15</f>
        <v>300.60000000000002</v>
      </c>
      <c r="I661" s="41">
        <v>289.60000000000002</v>
      </c>
      <c r="J661" s="41">
        <v>289.60000000000002</v>
      </c>
    </row>
    <row r="662" spans="1:10" ht="63.75">
      <c r="A662" s="1"/>
      <c r="B662" s="25"/>
      <c r="C662" s="16" t="s">
        <v>105</v>
      </c>
      <c r="D662" s="16" t="s">
        <v>105</v>
      </c>
      <c r="E662" s="136" t="s">
        <v>470</v>
      </c>
      <c r="F662" s="16"/>
      <c r="G662" s="98" t="s">
        <v>78</v>
      </c>
      <c r="H662" s="41">
        <f>H663</f>
        <v>0</v>
      </c>
      <c r="I662" s="41">
        <f>I663</f>
        <v>15</v>
      </c>
      <c r="J662" s="41">
        <f>J663</f>
        <v>15</v>
      </c>
    </row>
    <row r="663" spans="1:10" ht="38.25">
      <c r="A663" s="1"/>
      <c r="B663" s="25"/>
      <c r="C663" s="16" t="s">
        <v>105</v>
      </c>
      <c r="D663" s="16" t="s">
        <v>105</v>
      </c>
      <c r="E663" s="136" t="s">
        <v>470</v>
      </c>
      <c r="F663" s="82" t="s">
        <v>212</v>
      </c>
      <c r="G663" s="98" t="s">
        <v>213</v>
      </c>
      <c r="H663" s="41">
        <f>15-15</f>
        <v>0</v>
      </c>
      <c r="I663" s="41">
        <v>15</v>
      </c>
      <c r="J663" s="41">
        <v>15</v>
      </c>
    </row>
    <row r="664" spans="1:10">
      <c r="A664" s="1"/>
      <c r="B664" s="25"/>
      <c r="C664" s="16" t="s">
        <v>105</v>
      </c>
      <c r="D664" s="16" t="s">
        <v>105</v>
      </c>
      <c r="E664" s="136" t="s">
        <v>471</v>
      </c>
      <c r="F664" s="82"/>
      <c r="G664" s="54" t="s">
        <v>385</v>
      </c>
      <c r="H664" s="41">
        <f>H665</f>
        <v>50</v>
      </c>
      <c r="I664" s="41">
        <f>I665</f>
        <v>50</v>
      </c>
      <c r="J664" s="41">
        <f>J665</f>
        <v>50</v>
      </c>
    </row>
    <row r="665" spans="1:10" ht="38.25">
      <c r="A665" s="1"/>
      <c r="B665" s="25"/>
      <c r="C665" s="16" t="s">
        <v>105</v>
      </c>
      <c r="D665" s="16" t="s">
        <v>105</v>
      </c>
      <c r="E665" s="136" t="s">
        <v>471</v>
      </c>
      <c r="F665" s="82" t="s">
        <v>212</v>
      </c>
      <c r="G665" s="98" t="s">
        <v>213</v>
      </c>
      <c r="H665" s="41">
        <v>50</v>
      </c>
      <c r="I665" s="41">
        <v>50</v>
      </c>
      <c r="J665" s="41">
        <v>50</v>
      </c>
    </row>
    <row r="666" spans="1:10" ht="76.5">
      <c r="A666" s="1"/>
      <c r="B666" s="25"/>
      <c r="C666" s="16" t="s">
        <v>105</v>
      </c>
      <c r="D666" s="16" t="s">
        <v>105</v>
      </c>
      <c r="E666" s="21" t="s">
        <v>261</v>
      </c>
      <c r="F666" s="16"/>
      <c r="G666" s="101" t="s">
        <v>262</v>
      </c>
      <c r="H666" s="41">
        <f t="shared" ref="H666:J667" si="262">H667</f>
        <v>8963.4</v>
      </c>
      <c r="I666" s="41">
        <f t="shared" si="262"/>
        <v>7426</v>
      </c>
      <c r="J666" s="41">
        <f t="shared" si="262"/>
        <v>7426</v>
      </c>
    </row>
    <row r="667" spans="1:10" ht="41.25" customHeight="1">
      <c r="A667" s="1"/>
      <c r="B667" s="25"/>
      <c r="C667" s="16" t="s">
        <v>105</v>
      </c>
      <c r="D667" s="16" t="s">
        <v>105</v>
      </c>
      <c r="E667" s="74">
        <v>230221100</v>
      </c>
      <c r="F667" s="16"/>
      <c r="G667" s="98" t="s">
        <v>0</v>
      </c>
      <c r="H667" s="41">
        <f t="shared" si="262"/>
        <v>8963.4</v>
      </c>
      <c r="I667" s="41">
        <f t="shared" si="262"/>
        <v>7426</v>
      </c>
      <c r="J667" s="41">
        <f t="shared" si="262"/>
        <v>7426</v>
      </c>
    </row>
    <row r="668" spans="1:10">
      <c r="A668" s="1"/>
      <c r="B668" s="25"/>
      <c r="C668" s="16" t="s">
        <v>105</v>
      </c>
      <c r="D668" s="16" t="s">
        <v>105</v>
      </c>
      <c r="E668" s="74">
        <v>230221100</v>
      </c>
      <c r="F668" s="82" t="s">
        <v>226</v>
      </c>
      <c r="G668" s="98" t="s">
        <v>225</v>
      </c>
      <c r="H668" s="41">
        <f>8853.6+109.8</f>
        <v>8963.4</v>
      </c>
      <c r="I668" s="41">
        <f>7316.2+109.8</f>
        <v>7426</v>
      </c>
      <c r="J668" s="41">
        <f>7316.2+109.8</f>
        <v>7426</v>
      </c>
    </row>
    <row r="669" spans="1:10" ht="63.75">
      <c r="A669" s="1"/>
      <c r="B669" s="25"/>
      <c r="C669" s="16" t="s">
        <v>105</v>
      </c>
      <c r="D669" s="16" t="s">
        <v>105</v>
      </c>
      <c r="E669" s="21" t="s">
        <v>474</v>
      </c>
      <c r="F669" s="82"/>
      <c r="G669" s="98" t="s">
        <v>473</v>
      </c>
      <c r="H669" s="41">
        <f t="shared" ref="H669:J670" si="263">H670</f>
        <v>1283.7</v>
      </c>
      <c r="I669" s="41">
        <f t="shared" si="263"/>
        <v>0</v>
      </c>
      <c r="J669" s="41">
        <f t="shared" si="263"/>
        <v>0</v>
      </c>
    </row>
    <row r="670" spans="1:10" ht="56.25" customHeight="1">
      <c r="A670" s="1"/>
      <c r="B670" s="25"/>
      <c r="C670" s="16" t="s">
        <v>105</v>
      </c>
      <c r="D670" s="16" t="s">
        <v>105</v>
      </c>
      <c r="E670" s="74">
        <v>230321210</v>
      </c>
      <c r="F670" s="82"/>
      <c r="G670" s="98" t="s">
        <v>472</v>
      </c>
      <c r="H670" s="41">
        <f t="shared" si="263"/>
        <v>1283.7</v>
      </c>
      <c r="I670" s="41">
        <f t="shared" si="263"/>
        <v>0</v>
      </c>
      <c r="J670" s="41">
        <f t="shared" si="263"/>
        <v>0</v>
      </c>
    </row>
    <row r="671" spans="1:10">
      <c r="A671" s="1"/>
      <c r="B671" s="25"/>
      <c r="C671" s="16" t="s">
        <v>105</v>
      </c>
      <c r="D671" s="16" t="s">
        <v>105</v>
      </c>
      <c r="E671" s="74">
        <v>230321210</v>
      </c>
      <c r="F671" s="21" t="s">
        <v>226</v>
      </c>
      <c r="G671" s="98" t="s">
        <v>225</v>
      </c>
      <c r="H671" s="41">
        <v>1283.7</v>
      </c>
      <c r="I671" s="41">
        <v>0</v>
      </c>
      <c r="J671" s="41">
        <v>0</v>
      </c>
    </row>
    <row r="672" spans="1:10" ht="89.25">
      <c r="A672" s="1"/>
      <c r="B672" s="25"/>
      <c r="C672" s="5" t="s">
        <v>105</v>
      </c>
      <c r="D672" s="5" t="s">
        <v>105</v>
      </c>
      <c r="E672" s="73" t="s">
        <v>72</v>
      </c>
      <c r="F672" s="82"/>
      <c r="G672" s="53" t="s">
        <v>621</v>
      </c>
      <c r="H672" s="96">
        <f>H673</f>
        <v>210</v>
      </c>
      <c r="I672" s="96">
        <f t="shared" ref="I672:J672" si="264">I673</f>
        <v>50</v>
      </c>
      <c r="J672" s="96">
        <f t="shared" si="264"/>
        <v>50</v>
      </c>
    </row>
    <row r="673" spans="1:10" ht="76.5">
      <c r="A673" s="1"/>
      <c r="B673" s="25"/>
      <c r="C673" s="47" t="s">
        <v>105</v>
      </c>
      <c r="D673" s="47" t="s">
        <v>105</v>
      </c>
      <c r="E673" s="52" t="s">
        <v>535</v>
      </c>
      <c r="F673" s="16"/>
      <c r="G673" s="48" t="s">
        <v>180</v>
      </c>
      <c r="H673" s="93">
        <f>H674+H680</f>
        <v>210</v>
      </c>
      <c r="I673" s="93">
        <f t="shared" ref="I673:J673" si="265">I674+I680</f>
        <v>50</v>
      </c>
      <c r="J673" s="93">
        <f t="shared" si="265"/>
        <v>50</v>
      </c>
    </row>
    <row r="674" spans="1:10" ht="51">
      <c r="A674" s="1"/>
      <c r="B674" s="25"/>
      <c r="C674" s="16" t="s">
        <v>105</v>
      </c>
      <c r="D674" s="16" t="s">
        <v>105</v>
      </c>
      <c r="E674" s="21" t="s">
        <v>536</v>
      </c>
      <c r="F674" s="16"/>
      <c r="G674" s="99" t="s">
        <v>317</v>
      </c>
      <c r="H674" s="39">
        <f>H675+H677</f>
        <v>170</v>
      </c>
      <c r="I674" s="39">
        <f>I675+I677</f>
        <v>50</v>
      </c>
      <c r="J674" s="39">
        <f>J675+J677</f>
        <v>50</v>
      </c>
    </row>
    <row r="675" spans="1:10" ht="102">
      <c r="A675" s="1"/>
      <c r="B675" s="25"/>
      <c r="C675" s="16" t="s">
        <v>105</v>
      </c>
      <c r="D675" s="16" t="s">
        <v>105</v>
      </c>
      <c r="E675" s="74">
        <v>1020123085</v>
      </c>
      <c r="F675" s="16"/>
      <c r="G675" s="98" t="s">
        <v>181</v>
      </c>
      <c r="H675" s="41">
        <f>H676</f>
        <v>5</v>
      </c>
      <c r="I675" s="41">
        <f>I676</f>
        <v>5</v>
      </c>
      <c r="J675" s="41">
        <f>J676</f>
        <v>5</v>
      </c>
    </row>
    <row r="676" spans="1:10" ht="38.25">
      <c r="A676" s="1"/>
      <c r="B676" s="25"/>
      <c r="C676" s="16" t="s">
        <v>105</v>
      </c>
      <c r="D676" s="16" t="s">
        <v>105</v>
      </c>
      <c r="E676" s="74">
        <v>1020123085</v>
      </c>
      <c r="F676" s="82" t="s">
        <v>212</v>
      </c>
      <c r="G676" s="98" t="s">
        <v>213</v>
      </c>
      <c r="H676" s="41">
        <v>5</v>
      </c>
      <c r="I676" s="41">
        <v>5</v>
      </c>
      <c r="J676" s="41">
        <v>5</v>
      </c>
    </row>
    <row r="677" spans="1:10">
      <c r="A677" s="1"/>
      <c r="B677" s="25"/>
      <c r="C677" s="16" t="s">
        <v>105</v>
      </c>
      <c r="D677" s="16" t="s">
        <v>105</v>
      </c>
      <c r="E677" s="74">
        <v>1020123086</v>
      </c>
      <c r="F677" s="16"/>
      <c r="G677" s="98" t="s">
        <v>182</v>
      </c>
      <c r="H677" s="41">
        <f>H678</f>
        <v>165</v>
      </c>
      <c r="I677" s="41">
        <f>I678</f>
        <v>45</v>
      </c>
      <c r="J677" s="41">
        <f>J678</f>
        <v>45</v>
      </c>
    </row>
    <row r="678" spans="1:10" ht="38.25">
      <c r="A678" s="1"/>
      <c r="B678" s="25"/>
      <c r="C678" s="16" t="s">
        <v>105</v>
      </c>
      <c r="D678" s="16" t="s">
        <v>105</v>
      </c>
      <c r="E678" s="74">
        <v>1020123086</v>
      </c>
      <c r="F678" s="82" t="s">
        <v>212</v>
      </c>
      <c r="G678" s="98" t="s">
        <v>213</v>
      </c>
      <c r="H678" s="41">
        <f>35+130</f>
        <v>165</v>
      </c>
      <c r="I678" s="41">
        <v>45</v>
      </c>
      <c r="J678" s="41">
        <v>45</v>
      </c>
    </row>
    <row r="679" spans="1:10" ht="51">
      <c r="A679" s="1"/>
      <c r="B679" s="25"/>
      <c r="C679" s="47" t="s">
        <v>105</v>
      </c>
      <c r="D679" s="47" t="s">
        <v>105</v>
      </c>
      <c r="E679" s="52" t="s">
        <v>664</v>
      </c>
      <c r="F679" s="82"/>
      <c r="G679" s="98" t="s">
        <v>698</v>
      </c>
      <c r="H679" s="41">
        <f>H680</f>
        <v>40</v>
      </c>
      <c r="I679" s="41">
        <f t="shared" ref="I679:J679" si="266">I680</f>
        <v>0</v>
      </c>
      <c r="J679" s="41">
        <f t="shared" si="266"/>
        <v>0</v>
      </c>
    </row>
    <row r="680" spans="1:10" ht="38.25">
      <c r="A680" s="1"/>
      <c r="B680" s="25"/>
      <c r="C680" s="16" t="s">
        <v>105</v>
      </c>
      <c r="D680" s="16" t="s">
        <v>105</v>
      </c>
      <c r="E680" s="74">
        <v>1030300000</v>
      </c>
      <c r="F680" s="82"/>
      <c r="G680" s="98" t="s">
        <v>668</v>
      </c>
      <c r="H680" s="41">
        <f>H681+H683</f>
        <v>40</v>
      </c>
      <c r="I680" s="41">
        <f t="shared" ref="I680:J680" si="267">I681+I683</f>
        <v>0</v>
      </c>
      <c r="J680" s="41">
        <f t="shared" si="267"/>
        <v>0</v>
      </c>
    </row>
    <row r="681" spans="1:10" ht="38.25">
      <c r="A681" s="1"/>
      <c r="B681" s="25"/>
      <c r="C681" s="16" t="s">
        <v>105</v>
      </c>
      <c r="D681" s="16" t="s">
        <v>105</v>
      </c>
      <c r="E681" s="74">
        <v>1030323090</v>
      </c>
      <c r="F681" s="82"/>
      <c r="G681" s="98" t="s">
        <v>665</v>
      </c>
      <c r="H681" s="41">
        <f>H682</f>
        <v>10</v>
      </c>
      <c r="I681" s="41">
        <f t="shared" ref="I681:J681" si="268">I682</f>
        <v>0</v>
      </c>
      <c r="J681" s="41">
        <f t="shared" si="268"/>
        <v>0</v>
      </c>
    </row>
    <row r="682" spans="1:10" ht="38.25">
      <c r="A682" s="1"/>
      <c r="B682" s="25"/>
      <c r="C682" s="16" t="s">
        <v>105</v>
      </c>
      <c r="D682" s="16" t="s">
        <v>105</v>
      </c>
      <c r="E682" s="74">
        <v>1030323090</v>
      </c>
      <c r="F682" s="82" t="s">
        <v>212</v>
      </c>
      <c r="G682" s="98" t="s">
        <v>213</v>
      </c>
      <c r="H682" s="41">
        <v>10</v>
      </c>
      <c r="I682" s="41">
        <v>0</v>
      </c>
      <c r="J682" s="41">
        <v>0</v>
      </c>
    </row>
    <row r="683" spans="1:10" ht="38.25">
      <c r="A683" s="1"/>
      <c r="B683" s="25"/>
      <c r="C683" s="16" t="s">
        <v>105</v>
      </c>
      <c r="D683" s="16" t="s">
        <v>105</v>
      </c>
      <c r="E683" s="74">
        <v>1030323092</v>
      </c>
      <c r="F683" s="82"/>
      <c r="G683" s="98" t="s">
        <v>666</v>
      </c>
      <c r="H683" s="41">
        <f>H684</f>
        <v>30</v>
      </c>
      <c r="I683" s="41">
        <f t="shared" ref="I683:J683" si="269">I684</f>
        <v>0</v>
      </c>
      <c r="J683" s="41">
        <f t="shared" si="269"/>
        <v>0</v>
      </c>
    </row>
    <row r="684" spans="1:10" ht="38.25">
      <c r="A684" s="1"/>
      <c r="B684" s="25"/>
      <c r="C684" s="16" t="s">
        <v>105</v>
      </c>
      <c r="D684" s="16" t="s">
        <v>105</v>
      </c>
      <c r="E684" s="74">
        <v>1030323092</v>
      </c>
      <c r="F684" s="82" t="s">
        <v>212</v>
      </c>
      <c r="G684" s="98" t="s">
        <v>213</v>
      </c>
      <c r="H684" s="41">
        <v>30</v>
      </c>
      <c r="I684" s="41">
        <v>0</v>
      </c>
      <c r="J684" s="41">
        <v>0</v>
      </c>
    </row>
    <row r="685" spans="1:10" ht="15.75">
      <c r="A685" s="3"/>
      <c r="B685" s="91"/>
      <c r="C685" s="4" t="s">
        <v>102</v>
      </c>
      <c r="D685" s="3"/>
      <c r="E685" s="3"/>
      <c r="F685" s="3"/>
      <c r="G685" s="49" t="s">
        <v>20</v>
      </c>
      <c r="H685" s="92">
        <f>H686+H717</f>
        <v>84779.5</v>
      </c>
      <c r="I685" s="92">
        <f>I686+I717</f>
        <v>63727.8</v>
      </c>
      <c r="J685" s="92">
        <f>J686+J717</f>
        <v>63727.8</v>
      </c>
    </row>
    <row r="686" spans="1:10" s="37" customFormat="1" ht="14.25">
      <c r="A686" s="27"/>
      <c r="B686" s="70"/>
      <c r="C686" s="35" t="s">
        <v>102</v>
      </c>
      <c r="D686" s="35" t="s">
        <v>89</v>
      </c>
      <c r="E686" s="35"/>
      <c r="F686" s="35"/>
      <c r="G686" s="45" t="s">
        <v>107</v>
      </c>
      <c r="H686" s="42">
        <f>H687+H714</f>
        <v>80536.2</v>
      </c>
      <c r="I686" s="42">
        <f>I687+I714</f>
        <v>60276.800000000003</v>
      </c>
      <c r="J686" s="42">
        <f>J687+J714</f>
        <v>60276.800000000003</v>
      </c>
    </row>
    <row r="687" spans="1:10" s="37" customFormat="1" ht="90">
      <c r="A687" s="27"/>
      <c r="B687" s="70"/>
      <c r="C687" s="16" t="s">
        <v>102</v>
      </c>
      <c r="D687" s="16" t="s">
        <v>89</v>
      </c>
      <c r="E687" s="73" t="s">
        <v>60</v>
      </c>
      <c r="F687" s="35"/>
      <c r="G687" s="53" t="s">
        <v>611</v>
      </c>
      <c r="H687" s="65">
        <f t="shared" ref="H687:J687" si="270">H688</f>
        <v>80486.2</v>
      </c>
      <c r="I687" s="65">
        <f t="shared" si="270"/>
        <v>60276.800000000003</v>
      </c>
      <c r="J687" s="65">
        <f t="shared" si="270"/>
        <v>60276.800000000003</v>
      </c>
    </row>
    <row r="688" spans="1:10" s="37" customFormat="1" ht="25.5">
      <c r="A688" s="27"/>
      <c r="B688" s="70"/>
      <c r="C688" s="16" t="s">
        <v>102</v>
      </c>
      <c r="D688" s="16" t="s">
        <v>89</v>
      </c>
      <c r="E688" s="21" t="s">
        <v>61</v>
      </c>
      <c r="F688" s="35"/>
      <c r="G688" s="48" t="s">
        <v>172</v>
      </c>
      <c r="H688" s="58">
        <f>H689+H706+H711</f>
        <v>80486.2</v>
      </c>
      <c r="I688" s="58">
        <f t="shared" ref="I688:J688" si="271">I689+I706+I711</f>
        <v>60276.800000000003</v>
      </c>
      <c r="J688" s="58">
        <f t="shared" si="271"/>
        <v>60276.800000000003</v>
      </c>
    </row>
    <row r="689" spans="1:13" s="37" customFormat="1" ht="38.25">
      <c r="A689" s="27"/>
      <c r="B689" s="70"/>
      <c r="C689" s="16" t="s">
        <v>102</v>
      </c>
      <c r="D689" s="16" t="s">
        <v>89</v>
      </c>
      <c r="E689" s="21" t="s">
        <v>209</v>
      </c>
      <c r="F689" s="35"/>
      <c r="G689" s="101" t="s">
        <v>214</v>
      </c>
      <c r="H689" s="94">
        <f>H690+H694+H696+H699+H702+H704</f>
        <v>78917.2</v>
      </c>
      <c r="I689" s="94">
        <f t="shared" ref="I689:J689" si="272">I690+I694+I696+I699+I702+I704</f>
        <v>60240.800000000003</v>
      </c>
      <c r="J689" s="94">
        <f t="shared" si="272"/>
        <v>60240.800000000003</v>
      </c>
    </row>
    <row r="690" spans="1:13" ht="25.5">
      <c r="A690" s="1"/>
      <c r="B690" s="25"/>
      <c r="C690" s="16" t="s">
        <v>102</v>
      </c>
      <c r="D690" s="16" t="s">
        <v>89</v>
      </c>
      <c r="E690" s="74">
        <v>210122900</v>
      </c>
      <c r="F690" s="16"/>
      <c r="G690" s="99" t="s">
        <v>171</v>
      </c>
      <c r="H690" s="39">
        <f>SUM(H691:H693)</f>
        <v>14462.900000000001</v>
      </c>
      <c r="I690" s="39">
        <f t="shared" ref="I690:J690" si="273">SUM(I691:I693)</f>
        <v>10293.400000000001</v>
      </c>
      <c r="J690" s="39">
        <f t="shared" si="273"/>
        <v>10293.400000000001</v>
      </c>
    </row>
    <row r="691" spans="1:13" ht="25.5">
      <c r="A691" s="1"/>
      <c r="B691" s="25"/>
      <c r="C691" s="16" t="s">
        <v>102</v>
      </c>
      <c r="D691" s="16" t="s">
        <v>89</v>
      </c>
      <c r="E691" s="74">
        <v>210122900</v>
      </c>
      <c r="F691" s="82" t="s">
        <v>65</v>
      </c>
      <c r="G691" s="55" t="s">
        <v>131</v>
      </c>
      <c r="H691" s="39">
        <f>5408.8-17.4-1.5-21.4</f>
        <v>5368.5000000000009</v>
      </c>
      <c r="I691" s="39">
        <f>5635.6-17.4</f>
        <v>5618.2000000000007</v>
      </c>
      <c r="J691" s="39">
        <f>5635.6-17.4</f>
        <v>5618.2000000000007</v>
      </c>
    </row>
    <row r="692" spans="1:13" ht="38.25">
      <c r="A692" s="1"/>
      <c r="B692" s="25"/>
      <c r="C692" s="16" t="s">
        <v>102</v>
      </c>
      <c r="D692" s="16" t="s">
        <v>89</v>
      </c>
      <c r="E692" s="74">
        <v>210122900</v>
      </c>
      <c r="F692" s="82" t="s">
        <v>212</v>
      </c>
      <c r="G692" s="98" t="s">
        <v>213</v>
      </c>
      <c r="H692" s="39">
        <f>5956.5+2577.4+502.4-13.4+70</f>
        <v>9092.9</v>
      </c>
      <c r="I692" s="39">
        <v>4675.2</v>
      </c>
      <c r="J692" s="39">
        <v>4675.2</v>
      </c>
    </row>
    <row r="693" spans="1:13" ht="25.5">
      <c r="A693" s="1"/>
      <c r="B693" s="25"/>
      <c r="C693" s="16" t="s">
        <v>102</v>
      </c>
      <c r="D693" s="16" t="s">
        <v>89</v>
      </c>
      <c r="E693" s="74">
        <v>210122900</v>
      </c>
      <c r="F693" s="82" t="s">
        <v>132</v>
      </c>
      <c r="G693" s="98" t="s">
        <v>133</v>
      </c>
      <c r="H693" s="39">
        <v>1.5</v>
      </c>
      <c r="I693" s="39">
        <v>0</v>
      </c>
      <c r="J693" s="39">
        <v>0</v>
      </c>
    </row>
    <row r="694" spans="1:13" ht="51">
      <c r="A694" s="1"/>
      <c r="B694" s="25"/>
      <c r="C694" s="16" t="s">
        <v>102</v>
      </c>
      <c r="D694" s="16" t="s">
        <v>89</v>
      </c>
      <c r="E694" s="74">
        <v>210121100</v>
      </c>
      <c r="F694" s="16"/>
      <c r="G694" s="99" t="s">
        <v>173</v>
      </c>
      <c r="H694" s="39">
        <f>H695</f>
        <v>33743.699999999997</v>
      </c>
      <c r="I694" s="39">
        <f>I695</f>
        <v>26356.9</v>
      </c>
      <c r="J694" s="39">
        <f>J695</f>
        <v>26356.9</v>
      </c>
    </row>
    <row r="695" spans="1:13">
      <c r="A695" s="1"/>
      <c r="B695" s="25"/>
      <c r="C695" s="16" t="s">
        <v>102</v>
      </c>
      <c r="D695" s="16" t="s">
        <v>89</v>
      </c>
      <c r="E695" s="74">
        <v>210121100</v>
      </c>
      <c r="F695" s="21" t="s">
        <v>226</v>
      </c>
      <c r="G695" s="98" t="s">
        <v>225</v>
      </c>
      <c r="H695" s="39">
        <f>33945.3-18.5-109.8-25-48.3</f>
        <v>33743.699999999997</v>
      </c>
      <c r="I695" s="1">
        <f>26485.2-18.5-109.8</f>
        <v>26356.9</v>
      </c>
      <c r="J695" s="1">
        <f>26485.2-18.5-109.8</f>
        <v>26356.9</v>
      </c>
    </row>
    <row r="696" spans="1:13" ht="51">
      <c r="A696" s="1"/>
      <c r="B696" s="25"/>
      <c r="C696" s="16" t="s">
        <v>102</v>
      </c>
      <c r="D696" s="16" t="s">
        <v>89</v>
      </c>
      <c r="E696" s="74" t="s">
        <v>454</v>
      </c>
      <c r="F696" s="82"/>
      <c r="G696" s="98" t="s">
        <v>319</v>
      </c>
      <c r="H696" s="39">
        <f>SUM(H697:H698)</f>
        <v>305.60000000000002</v>
      </c>
      <c r="I696" s="39">
        <f>SUM(I697:I698)</f>
        <v>235.9</v>
      </c>
      <c r="J696" s="39">
        <f>SUM(J697:J698)</f>
        <v>235.9</v>
      </c>
      <c r="M696" s="103"/>
    </row>
    <row r="697" spans="1:13" ht="25.5">
      <c r="A697" s="1"/>
      <c r="B697" s="25"/>
      <c r="C697" s="16" t="s">
        <v>102</v>
      </c>
      <c r="D697" s="16" t="s">
        <v>89</v>
      </c>
      <c r="E697" s="74" t="s">
        <v>454</v>
      </c>
      <c r="F697" s="82" t="s">
        <v>65</v>
      </c>
      <c r="G697" s="55" t="s">
        <v>131</v>
      </c>
      <c r="H697" s="39">
        <f>50+17.4+21.4</f>
        <v>88.800000000000011</v>
      </c>
      <c r="I697" s="39">
        <f t="shared" ref="I697:J697" si="274">50+17.4</f>
        <v>67.400000000000006</v>
      </c>
      <c r="J697" s="39">
        <f t="shared" si="274"/>
        <v>67.400000000000006</v>
      </c>
    </row>
    <row r="698" spans="1:13">
      <c r="A698" s="1"/>
      <c r="B698" s="25"/>
      <c r="C698" s="16" t="s">
        <v>102</v>
      </c>
      <c r="D698" s="16" t="s">
        <v>89</v>
      </c>
      <c r="E698" s="74" t="s">
        <v>454</v>
      </c>
      <c r="F698" s="21" t="s">
        <v>226</v>
      </c>
      <c r="G698" s="98" t="s">
        <v>225</v>
      </c>
      <c r="H698" s="39">
        <f>150+18.5+48.3</f>
        <v>216.8</v>
      </c>
      <c r="I698" s="39">
        <f t="shared" ref="I698:J698" si="275">150+18.5</f>
        <v>168.5</v>
      </c>
      <c r="J698" s="39">
        <f t="shared" si="275"/>
        <v>168.5</v>
      </c>
    </row>
    <row r="699" spans="1:13" ht="51">
      <c r="A699" s="1"/>
      <c r="B699" s="25"/>
      <c r="C699" s="16" t="s">
        <v>102</v>
      </c>
      <c r="D699" s="16" t="s">
        <v>89</v>
      </c>
      <c r="E699" s="74">
        <v>210110680</v>
      </c>
      <c r="F699" s="82"/>
      <c r="G699" s="98" t="s">
        <v>358</v>
      </c>
      <c r="H699" s="39">
        <f>SUM(H700:H701)</f>
        <v>30251.600000000002</v>
      </c>
      <c r="I699" s="39">
        <f t="shared" ref="I699:J699" si="276">SUM(I700:I701)</f>
        <v>23354.600000000002</v>
      </c>
      <c r="J699" s="39">
        <f t="shared" si="276"/>
        <v>23354.600000000002</v>
      </c>
    </row>
    <row r="700" spans="1:13" ht="25.5">
      <c r="A700" s="1"/>
      <c r="B700" s="25"/>
      <c r="C700" s="16" t="s">
        <v>102</v>
      </c>
      <c r="D700" s="16" t="s">
        <v>89</v>
      </c>
      <c r="E700" s="74">
        <v>210110680</v>
      </c>
      <c r="F700" s="82" t="s">
        <v>65</v>
      </c>
      <c r="G700" s="55" t="s">
        <v>131</v>
      </c>
      <c r="H700" s="39">
        <f>6672.7+2118.3</f>
        <v>8791</v>
      </c>
      <c r="I700" s="39">
        <v>6672.7</v>
      </c>
      <c r="J700" s="39">
        <v>6672.7</v>
      </c>
    </row>
    <row r="701" spans="1:13">
      <c r="A701" s="1"/>
      <c r="B701" s="25"/>
      <c r="C701" s="16" t="s">
        <v>102</v>
      </c>
      <c r="D701" s="16" t="s">
        <v>89</v>
      </c>
      <c r="E701" s="74">
        <v>210110680</v>
      </c>
      <c r="F701" s="21" t="s">
        <v>226</v>
      </c>
      <c r="G701" s="98" t="s">
        <v>225</v>
      </c>
      <c r="H701" s="39">
        <f>16681.9+4778.7</f>
        <v>21460.600000000002</v>
      </c>
      <c r="I701" s="39">
        <v>16681.900000000001</v>
      </c>
      <c r="J701" s="39">
        <v>16681.900000000001</v>
      </c>
    </row>
    <row r="702" spans="1:13" ht="51">
      <c r="A702" s="1"/>
      <c r="B702" s="25"/>
      <c r="C702" s="16" t="s">
        <v>102</v>
      </c>
      <c r="D702" s="16" t="s">
        <v>89</v>
      </c>
      <c r="E702" s="74" t="s">
        <v>743</v>
      </c>
      <c r="F702" s="21"/>
      <c r="G702" s="54" t="s">
        <v>744</v>
      </c>
      <c r="H702" s="39">
        <f>H703</f>
        <v>133.4</v>
      </c>
      <c r="I702" s="39">
        <f t="shared" ref="I702:J702" si="277">I703</f>
        <v>0</v>
      </c>
      <c r="J702" s="39">
        <f t="shared" si="277"/>
        <v>0</v>
      </c>
    </row>
    <row r="703" spans="1:13" ht="38.25">
      <c r="A703" s="1"/>
      <c r="B703" s="25"/>
      <c r="C703" s="16" t="s">
        <v>102</v>
      </c>
      <c r="D703" s="16" t="s">
        <v>89</v>
      </c>
      <c r="E703" s="74" t="s">
        <v>743</v>
      </c>
      <c r="F703" s="82" t="s">
        <v>212</v>
      </c>
      <c r="G703" s="98" t="s">
        <v>213</v>
      </c>
      <c r="H703" s="39">
        <f>120+13.4</f>
        <v>133.4</v>
      </c>
      <c r="I703" s="39">
        <v>0</v>
      </c>
      <c r="J703" s="39">
        <v>0</v>
      </c>
    </row>
    <row r="704" spans="1:13" ht="38.25">
      <c r="A704" s="1"/>
      <c r="B704" s="25"/>
      <c r="C704" s="16" t="s">
        <v>102</v>
      </c>
      <c r="D704" s="16" t="s">
        <v>89</v>
      </c>
      <c r="E704" s="165" t="s">
        <v>751</v>
      </c>
      <c r="F704" s="82"/>
      <c r="G704" s="124" t="s">
        <v>752</v>
      </c>
      <c r="H704" s="39">
        <f>H705</f>
        <v>20</v>
      </c>
      <c r="I704" s="39">
        <f t="shared" ref="I704:J704" si="278">I705</f>
        <v>0</v>
      </c>
      <c r="J704" s="39">
        <f t="shared" si="278"/>
        <v>0</v>
      </c>
    </row>
    <row r="705" spans="1:10" ht="38.25">
      <c r="A705" s="1"/>
      <c r="B705" s="25"/>
      <c r="C705" s="16" t="s">
        <v>102</v>
      </c>
      <c r="D705" s="16" t="s">
        <v>89</v>
      </c>
      <c r="E705" s="165" t="s">
        <v>751</v>
      </c>
      <c r="F705" s="82" t="s">
        <v>212</v>
      </c>
      <c r="G705" s="98" t="s">
        <v>213</v>
      </c>
      <c r="H705" s="39">
        <v>20</v>
      </c>
      <c r="I705" s="39">
        <v>0</v>
      </c>
      <c r="J705" s="39">
        <v>0</v>
      </c>
    </row>
    <row r="706" spans="1:10" ht="51">
      <c r="A706" s="1"/>
      <c r="B706" s="25"/>
      <c r="C706" s="16" t="s">
        <v>102</v>
      </c>
      <c r="D706" s="16" t="s">
        <v>89</v>
      </c>
      <c r="E706" s="21" t="s">
        <v>257</v>
      </c>
      <c r="F706" s="35"/>
      <c r="G706" s="98" t="s">
        <v>256</v>
      </c>
      <c r="H706" s="41">
        <f>H707+H709</f>
        <v>1569</v>
      </c>
      <c r="I706" s="41">
        <f>I707+I709</f>
        <v>35</v>
      </c>
      <c r="J706" s="41">
        <f>J707+J709</f>
        <v>35</v>
      </c>
    </row>
    <row r="707" spans="1:10" ht="51">
      <c r="A707" s="1"/>
      <c r="B707" s="25"/>
      <c r="C707" s="16" t="s">
        <v>102</v>
      </c>
      <c r="D707" s="16" t="s">
        <v>89</v>
      </c>
      <c r="E707" s="125" t="s">
        <v>457</v>
      </c>
      <c r="F707" s="82"/>
      <c r="G707" s="131" t="s">
        <v>373</v>
      </c>
      <c r="H707" s="39">
        <f>H708</f>
        <v>624</v>
      </c>
      <c r="I707" s="39">
        <f>I708</f>
        <v>35</v>
      </c>
      <c r="J707" s="39">
        <f>J708</f>
        <v>35</v>
      </c>
    </row>
    <row r="708" spans="1:10">
      <c r="A708" s="1"/>
      <c r="B708" s="25"/>
      <c r="C708" s="16" t="s">
        <v>102</v>
      </c>
      <c r="D708" s="16" t="s">
        <v>89</v>
      </c>
      <c r="E708" s="125" t="s">
        <v>457</v>
      </c>
      <c r="F708" s="21" t="s">
        <v>226</v>
      </c>
      <c r="G708" s="98" t="s">
        <v>225</v>
      </c>
      <c r="H708" s="39">
        <f>13+611</f>
        <v>624</v>
      </c>
      <c r="I708" s="39">
        <v>35</v>
      </c>
      <c r="J708" s="39">
        <v>35</v>
      </c>
    </row>
    <row r="709" spans="1:10" ht="42" customHeight="1">
      <c r="A709" s="1"/>
      <c r="B709" s="25"/>
      <c r="C709" s="16" t="s">
        <v>102</v>
      </c>
      <c r="D709" s="16" t="s">
        <v>89</v>
      </c>
      <c r="E709" s="134" t="s">
        <v>459</v>
      </c>
      <c r="F709" s="21"/>
      <c r="G709" s="98" t="s">
        <v>458</v>
      </c>
      <c r="H709" s="39">
        <f>H710</f>
        <v>945</v>
      </c>
      <c r="I709" s="39">
        <f>I710</f>
        <v>0</v>
      </c>
      <c r="J709" s="39">
        <f>J710</f>
        <v>0</v>
      </c>
    </row>
    <row r="710" spans="1:10">
      <c r="A710" s="1"/>
      <c r="B710" s="25"/>
      <c r="C710" s="16" t="s">
        <v>102</v>
      </c>
      <c r="D710" s="16" t="s">
        <v>89</v>
      </c>
      <c r="E710" s="134" t="s">
        <v>459</v>
      </c>
      <c r="F710" s="21" t="s">
        <v>226</v>
      </c>
      <c r="G710" s="98" t="s">
        <v>225</v>
      </c>
      <c r="H710" s="39">
        <v>945</v>
      </c>
      <c r="I710" s="39">
        <v>0</v>
      </c>
      <c r="J710" s="39">
        <v>0</v>
      </c>
    </row>
    <row r="711" spans="1:10" ht="38.25">
      <c r="A711" s="1"/>
      <c r="B711" s="25"/>
      <c r="C711" s="16" t="s">
        <v>102</v>
      </c>
      <c r="D711" s="16" t="s">
        <v>89</v>
      </c>
      <c r="E711" s="134" t="s">
        <v>460</v>
      </c>
      <c r="F711" s="21"/>
      <c r="G711" s="98" t="s">
        <v>461</v>
      </c>
      <c r="H711" s="39">
        <f>H712</f>
        <v>0</v>
      </c>
      <c r="I711" s="39">
        <f t="shared" ref="I711:J711" si="279">I712</f>
        <v>1</v>
      </c>
      <c r="J711" s="39">
        <f t="shared" si="279"/>
        <v>1</v>
      </c>
    </row>
    <row r="712" spans="1:10" ht="63.75">
      <c r="A712" s="1"/>
      <c r="B712" s="25"/>
      <c r="C712" s="16" t="s">
        <v>102</v>
      </c>
      <c r="D712" s="16" t="s">
        <v>89</v>
      </c>
      <c r="E712" s="134" t="s">
        <v>463</v>
      </c>
      <c r="F712" s="21"/>
      <c r="G712" s="98" t="s">
        <v>462</v>
      </c>
      <c r="H712" s="39">
        <f>H713</f>
        <v>0</v>
      </c>
      <c r="I712" s="39">
        <f>I713</f>
        <v>1</v>
      </c>
      <c r="J712" s="39">
        <f>J713</f>
        <v>1</v>
      </c>
    </row>
    <row r="713" spans="1:10">
      <c r="A713" s="1"/>
      <c r="B713" s="25"/>
      <c r="C713" s="16" t="s">
        <v>102</v>
      </c>
      <c r="D713" s="16" t="s">
        <v>89</v>
      </c>
      <c r="E713" s="134" t="s">
        <v>463</v>
      </c>
      <c r="F713" s="21" t="s">
        <v>226</v>
      </c>
      <c r="G713" s="98" t="s">
        <v>225</v>
      </c>
      <c r="H713" s="39">
        <f>1-1</f>
        <v>0</v>
      </c>
      <c r="I713" s="39">
        <v>1</v>
      </c>
      <c r="J713" s="39">
        <v>1</v>
      </c>
    </row>
    <row r="714" spans="1:10" ht="38.25">
      <c r="A714" s="1"/>
      <c r="B714" s="25"/>
      <c r="C714" s="16" t="s">
        <v>102</v>
      </c>
      <c r="D714" s="16" t="s">
        <v>89</v>
      </c>
      <c r="E714" s="82" t="s">
        <v>25</v>
      </c>
      <c r="F714" s="82"/>
      <c r="G714" s="99" t="s">
        <v>39</v>
      </c>
      <c r="H714" s="41">
        <f>H715</f>
        <v>50</v>
      </c>
      <c r="I714" s="41">
        <f t="shared" ref="I714:J714" si="280">I715</f>
        <v>0</v>
      </c>
      <c r="J714" s="41">
        <f t="shared" si="280"/>
        <v>0</v>
      </c>
    </row>
    <row r="715" spans="1:10" ht="51">
      <c r="A715" s="1"/>
      <c r="B715" s="25"/>
      <c r="C715" s="16" t="s">
        <v>102</v>
      </c>
      <c r="D715" s="16" t="s">
        <v>89</v>
      </c>
      <c r="E715" s="82" t="s">
        <v>607</v>
      </c>
      <c r="F715" s="16"/>
      <c r="G715" s="54" t="s">
        <v>609</v>
      </c>
      <c r="H715" s="41">
        <f>SUM(H716:H716)</f>
        <v>50</v>
      </c>
      <c r="I715" s="41">
        <f>SUM(I716:I716)</f>
        <v>0</v>
      </c>
      <c r="J715" s="41">
        <f>SUM(J716:J716)</f>
        <v>0</v>
      </c>
    </row>
    <row r="716" spans="1:10">
      <c r="A716" s="1"/>
      <c r="B716" s="25"/>
      <c r="C716" s="16" t="s">
        <v>102</v>
      </c>
      <c r="D716" s="16" t="s">
        <v>89</v>
      </c>
      <c r="E716" s="82" t="s">
        <v>607</v>
      </c>
      <c r="F716" s="21" t="s">
        <v>226</v>
      </c>
      <c r="G716" s="98" t="s">
        <v>225</v>
      </c>
      <c r="H716" s="39">
        <v>50</v>
      </c>
      <c r="I716" s="39">
        <v>0</v>
      </c>
      <c r="J716" s="39">
        <v>0</v>
      </c>
    </row>
    <row r="717" spans="1:10" s="37" customFormat="1" ht="25.5">
      <c r="A717" s="27"/>
      <c r="B717" s="70"/>
      <c r="C717" s="35" t="s">
        <v>102</v>
      </c>
      <c r="D717" s="35" t="s">
        <v>95</v>
      </c>
      <c r="E717" s="35"/>
      <c r="F717" s="35"/>
      <c r="G717" s="46" t="s">
        <v>7</v>
      </c>
      <c r="H717" s="42">
        <f>H718+H729</f>
        <v>4243.3</v>
      </c>
      <c r="I717" s="42">
        <f>I718+I729</f>
        <v>3451</v>
      </c>
      <c r="J717" s="42">
        <f>J718+J729</f>
        <v>3451</v>
      </c>
    </row>
    <row r="718" spans="1:10" s="37" customFormat="1" ht="90">
      <c r="A718" s="27"/>
      <c r="B718" s="70"/>
      <c r="C718" s="5" t="s">
        <v>102</v>
      </c>
      <c r="D718" s="5" t="s">
        <v>95</v>
      </c>
      <c r="E718" s="73" t="s">
        <v>60</v>
      </c>
      <c r="F718" s="35"/>
      <c r="G718" s="53" t="s">
        <v>611</v>
      </c>
      <c r="H718" s="65">
        <f>H719+H725</f>
        <v>4003.3</v>
      </c>
      <c r="I718" s="65">
        <f>I719+I725</f>
        <v>3451</v>
      </c>
      <c r="J718" s="65">
        <f>J719+J725</f>
        <v>3451</v>
      </c>
    </row>
    <row r="719" spans="1:10" s="37" customFormat="1" ht="25.5">
      <c r="A719" s="27"/>
      <c r="B719" s="70"/>
      <c r="C719" s="16" t="s">
        <v>102</v>
      </c>
      <c r="D719" s="16" t="s">
        <v>95</v>
      </c>
      <c r="E719" s="21" t="s">
        <v>61</v>
      </c>
      <c r="F719" s="35"/>
      <c r="G719" s="48" t="s">
        <v>172</v>
      </c>
      <c r="H719" s="42">
        <f t="shared" ref="H719:J721" si="281">H720</f>
        <v>599.79999999999995</v>
      </c>
      <c r="I719" s="42">
        <f t="shared" si="281"/>
        <v>300</v>
      </c>
      <c r="J719" s="42">
        <f t="shared" si="281"/>
        <v>300</v>
      </c>
    </row>
    <row r="720" spans="1:10" s="37" customFormat="1" ht="38.25">
      <c r="A720" s="27"/>
      <c r="B720" s="70"/>
      <c r="C720" s="16" t="s">
        <v>102</v>
      </c>
      <c r="D720" s="16" t="s">
        <v>95</v>
      </c>
      <c r="E720" s="21" t="s">
        <v>464</v>
      </c>
      <c r="F720" s="35"/>
      <c r="G720" s="101" t="s">
        <v>258</v>
      </c>
      <c r="H720" s="41">
        <f>H721+H723</f>
        <v>599.79999999999995</v>
      </c>
      <c r="I720" s="41">
        <f t="shared" ref="I720:J720" si="282">I721+I723</f>
        <v>300</v>
      </c>
      <c r="J720" s="41">
        <f t="shared" si="282"/>
        <v>300</v>
      </c>
    </row>
    <row r="721" spans="1:10" s="37" customFormat="1" ht="51">
      <c r="A721" s="27"/>
      <c r="B721" s="70"/>
      <c r="C721" s="16" t="s">
        <v>102</v>
      </c>
      <c r="D721" s="16" t="s">
        <v>95</v>
      </c>
      <c r="E721" s="21" t="s">
        <v>465</v>
      </c>
      <c r="F721" s="16"/>
      <c r="G721" s="98" t="s">
        <v>175</v>
      </c>
      <c r="H721" s="41">
        <f t="shared" si="281"/>
        <v>499.8</v>
      </c>
      <c r="I721" s="41">
        <f t="shared" si="281"/>
        <v>300</v>
      </c>
      <c r="J721" s="41">
        <f t="shared" si="281"/>
        <v>300</v>
      </c>
    </row>
    <row r="722" spans="1:10" s="37" customFormat="1" ht="38.25">
      <c r="A722" s="27"/>
      <c r="B722" s="70"/>
      <c r="C722" s="16" t="s">
        <v>102</v>
      </c>
      <c r="D722" s="16" t="s">
        <v>95</v>
      </c>
      <c r="E722" s="21" t="s">
        <v>465</v>
      </c>
      <c r="F722" s="82" t="s">
        <v>212</v>
      </c>
      <c r="G722" s="98" t="s">
        <v>213</v>
      </c>
      <c r="H722" s="41">
        <f>374+125.8</f>
        <v>499.8</v>
      </c>
      <c r="I722" s="41">
        <v>300</v>
      </c>
      <c r="J722" s="41">
        <v>300</v>
      </c>
    </row>
    <row r="723" spans="1:10" s="37" customFormat="1" ht="25.5">
      <c r="A723" s="27"/>
      <c r="B723" s="70"/>
      <c r="C723" s="16" t="s">
        <v>102</v>
      </c>
      <c r="D723" s="16" t="s">
        <v>95</v>
      </c>
      <c r="E723" s="21" t="s">
        <v>753</v>
      </c>
      <c r="F723" s="82"/>
      <c r="G723" s="108" t="s">
        <v>754</v>
      </c>
      <c r="H723" s="41">
        <f>H724</f>
        <v>100</v>
      </c>
      <c r="I723" s="41">
        <f t="shared" ref="I723:J723" si="283">I724</f>
        <v>0</v>
      </c>
      <c r="J723" s="41">
        <f t="shared" si="283"/>
        <v>0</v>
      </c>
    </row>
    <row r="724" spans="1:10" s="37" customFormat="1" ht="38.25">
      <c r="A724" s="27"/>
      <c r="B724" s="70"/>
      <c r="C724" s="16" t="s">
        <v>102</v>
      </c>
      <c r="D724" s="16" t="s">
        <v>95</v>
      </c>
      <c r="E724" s="167" t="s">
        <v>753</v>
      </c>
      <c r="F724" s="82" t="s">
        <v>212</v>
      </c>
      <c r="G724" s="98" t="s">
        <v>213</v>
      </c>
      <c r="H724" s="41">
        <v>100</v>
      </c>
      <c r="I724" s="41">
        <v>0</v>
      </c>
      <c r="J724" s="41">
        <v>0</v>
      </c>
    </row>
    <row r="725" spans="1:10" s="37" customFormat="1" ht="14.25">
      <c r="A725" s="27"/>
      <c r="B725" s="70"/>
      <c r="C725" s="16" t="s">
        <v>102</v>
      </c>
      <c r="D725" s="16" t="s">
        <v>95</v>
      </c>
      <c r="E725" s="52" t="s">
        <v>32</v>
      </c>
      <c r="F725" s="21"/>
      <c r="G725" s="66" t="s">
        <v>47</v>
      </c>
      <c r="H725" s="58">
        <f>H726</f>
        <v>3403.5</v>
      </c>
      <c r="I725" s="58">
        <f>I726</f>
        <v>3151</v>
      </c>
      <c r="J725" s="58">
        <f>J726</f>
        <v>3151</v>
      </c>
    </row>
    <row r="726" spans="1:10" s="37" customFormat="1" ht="63.75">
      <c r="A726" s="27"/>
      <c r="B726" s="70"/>
      <c r="C726" s="16" t="s">
        <v>102</v>
      </c>
      <c r="D726" s="16" t="s">
        <v>95</v>
      </c>
      <c r="E726" s="80">
        <v>290022200</v>
      </c>
      <c r="F726" s="21"/>
      <c r="G726" s="98" t="s">
        <v>264</v>
      </c>
      <c r="H726" s="94">
        <f>SUM(H727:H728)</f>
        <v>3403.5</v>
      </c>
      <c r="I726" s="94">
        <f>SUM(I727:I728)</f>
        <v>3151</v>
      </c>
      <c r="J726" s="94">
        <f>SUM(J727:J728)</f>
        <v>3151</v>
      </c>
    </row>
    <row r="727" spans="1:10" s="37" customFormat="1" ht="38.25">
      <c r="A727" s="27"/>
      <c r="B727" s="70"/>
      <c r="C727" s="16" t="s">
        <v>102</v>
      </c>
      <c r="D727" s="16" t="s">
        <v>95</v>
      </c>
      <c r="E727" s="80">
        <v>290022200</v>
      </c>
      <c r="F727" s="16" t="s">
        <v>63</v>
      </c>
      <c r="G727" s="55" t="s">
        <v>64</v>
      </c>
      <c r="H727" s="94">
        <f>3035.4+300.6</f>
        <v>3336</v>
      </c>
      <c r="I727" s="94">
        <f>2788.9+300.6</f>
        <v>3089.5</v>
      </c>
      <c r="J727" s="94">
        <f>2788.9+300.6</f>
        <v>3089.5</v>
      </c>
    </row>
    <row r="728" spans="1:10" s="37" customFormat="1" ht="38.25">
      <c r="A728" s="27"/>
      <c r="B728" s="70"/>
      <c r="C728" s="16" t="s">
        <v>102</v>
      </c>
      <c r="D728" s="16" t="s">
        <v>95</v>
      </c>
      <c r="E728" s="80">
        <v>290022200</v>
      </c>
      <c r="F728" s="82" t="s">
        <v>212</v>
      </c>
      <c r="G728" s="98" t="s">
        <v>213</v>
      </c>
      <c r="H728" s="41">
        <v>67.5</v>
      </c>
      <c r="I728" s="41">
        <v>61.5</v>
      </c>
      <c r="J728" s="41">
        <v>61.5</v>
      </c>
    </row>
    <row r="729" spans="1:10" s="37" customFormat="1" ht="38.25">
      <c r="A729" s="27"/>
      <c r="B729" s="70"/>
      <c r="C729" s="16" t="s">
        <v>102</v>
      </c>
      <c r="D729" s="16" t="s">
        <v>95</v>
      </c>
      <c r="E729" s="82" t="s">
        <v>25</v>
      </c>
      <c r="F729" s="82"/>
      <c r="G729" s="99" t="s">
        <v>39</v>
      </c>
      <c r="H729" s="41">
        <f>H730</f>
        <v>240</v>
      </c>
      <c r="I729" s="41">
        <f t="shared" ref="I729:J729" si="284">I730</f>
        <v>0</v>
      </c>
      <c r="J729" s="41">
        <f t="shared" si="284"/>
        <v>0</v>
      </c>
    </row>
    <row r="730" spans="1:10" s="37" customFormat="1" ht="51">
      <c r="A730" s="27"/>
      <c r="B730" s="70"/>
      <c r="C730" s="16" t="s">
        <v>102</v>
      </c>
      <c r="D730" s="16" t="s">
        <v>95</v>
      </c>
      <c r="E730" s="82" t="s">
        <v>606</v>
      </c>
      <c r="F730" s="21"/>
      <c r="G730" s="54" t="s">
        <v>605</v>
      </c>
      <c r="H730" s="39">
        <f>H731</f>
        <v>240</v>
      </c>
      <c r="I730" s="39">
        <f t="shared" ref="I730:J730" si="285">I731</f>
        <v>0</v>
      </c>
      <c r="J730" s="39">
        <f t="shared" si="285"/>
        <v>0</v>
      </c>
    </row>
    <row r="731" spans="1:10" s="37" customFormat="1" ht="38.25">
      <c r="A731" s="27"/>
      <c r="B731" s="70"/>
      <c r="C731" s="16" t="s">
        <v>102</v>
      </c>
      <c r="D731" s="16" t="s">
        <v>95</v>
      </c>
      <c r="E731" s="82" t="s">
        <v>606</v>
      </c>
      <c r="F731" s="82" t="s">
        <v>212</v>
      </c>
      <c r="G731" s="98" t="s">
        <v>213</v>
      </c>
      <c r="H731" s="39">
        <v>240</v>
      </c>
      <c r="I731" s="39">
        <v>0</v>
      </c>
      <c r="J731" s="39">
        <v>0</v>
      </c>
    </row>
    <row r="732" spans="1:10" ht="15.75">
      <c r="A732" s="1"/>
      <c r="B732" s="25"/>
      <c r="C732" s="4" t="s">
        <v>103</v>
      </c>
      <c r="D732" s="3"/>
      <c r="E732" s="3"/>
      <c r="F732" s="3"/>
      <c r="G732" s="49" t="s">
        <v>124</v>
      </c>
      <c r="H732" s="92">
        <f t="shared" ref="H732:J734" si="286">H733</f>
        <v>5986</v>
      </c>
      <c r="I732" s="92">
        <f t="shared" si="286"/>
        <v>496.29999999999995</v>
      </c>
      <c r="J732" s="92">
        <f t="shared" si="286"/>
        <v>496.29999999999995</v>
      </c>
    </row>
    <row r="733" spans="1:10" ht="14.25">
      <c r="A733" s="1"/>
      <c r="B733" s="25"/>
      <c r="C733" s="35" t="s">
        <v>103</v>
      </c>
      <c r="D733" s="35" t="s">
        <v>90</v>
      </c>
      <c r="E733" s="35"/>
      <c r="F733" s="35"/>
      <c r="G733" s="46" t="s">
        <v>6</v>
      </c>
      <c r="H733" s="42">
        <f t="shared" si="286"/>
        <v>5986</v>
      </c>
      <c r="I733" s="42">
        <f t="shared" si="286"/>
        <v>496.29999999999995</v>
      </c>
      <c r="J733" s="42">
        <f t="shared" si="286"/>
        <v>496.29999999999995</v>
      </c>
    </row>
    <row r="734" spans="1:10" ht="89.25">
      <c r="A734" s="1"/>
      <c r="B734" s="25"/>
      <c r="C734" s="16" t="s">
        <v>103</v>
      </c>
      <c r="D734" s="16" t="s">
        <v>90</v>
      </c>
      <c r="E734" s="73" t="s">
        <v>60</v>
      </c>
      <c r="F734" s="35"/>
      <c r="G734" s="53" t="s">
        <v>611</v>
      </c>
      <c r="H734" s="62">
        <f t="shared" si="286"/>
        <v>5986</v>
      </c>
      <c r="I734" s="62">
        <f t="shared" si="286"/>
        <v>496.29999999999995</v>
      </c>
      <c r="J734" s="62">
        <f t="shared" si="286"/>
        <v>496.29999999999995</v>
      </c>
    </row>
    <row r="735" spans="1:10" ht="38.25">
      <c r="A735" s="1"/>
      <c r="B735" s="25"/>
      <c r="C735" s="47" t="s">
        <v>103</v>
      </c>
      <c r="D735" s="47" t="s">
        <v>90</v>
      </c>
      <c r="E735" s="52" t="s">
        <v>44</v>
      </c>
      <c r="F735" s="35"/>
      <c r="G735" s="48" t="s">
        <v>202</v>
      </c>
      <c r="H735" s="58">
        <f>H736+H745</f>
        <v>5986</v>
      </c>
      <c r="I735" s="58">
        <f t="shared" ref="I735:J735" si="287">I736+I745</f>
        <v>496.29999999999995</v>
      </c>
      <c r="J735" s="58">
        <f t="shared" si="287"/>
        <v>496.29999999999995</v>
      </c>
    </row>
    <row r="736" spans="1:10" ht="89.25" customHeight="1">
      <c r="A736" s="1"/>
      <c r="B736" s="25"/>
      <c r="C736" s="16" t="s">
        <v>103</v>
      </c>
      <c r="D736" s="16" t="s">
        <v>90</v>
      </c>
      <c r="E736" s="21" t="s">
        <v>259</v>
      </c>
      <c r="F736" s="35"/>
      <c r="G736" s="99" t="s">
        <v>260</v>
      </c>
      <c r="H736" s="58">
        <f>H737+H740+H743</f>
        <v>5736</v>
      </c>
      <c r="I736" s="58">
        <f t="shared" ref="I736:J736" si="288">I737+I740+I743</f>
        <v>496.29999999999995</v>
      </c>
      <c r="J736" s="58">
        <f t="shared" si="288"/>
        <v>496.29999999999995</v>
      </c>
    </row>
    <row r="737" spans="1:10" ht="89.25">
      <c r="A737" s="1"/>
      <c r="B737" s="25"/>
      <c r="C737" s="16" t="s">
        <v>103</v>
      </c>
      <c r="D737" s="16" t="s">
        <v>90</v>
      </c>
      <c r="E737" s="21" t="s">
        <v>466</v>
      </c>
      <c r="F737" s="21"/>
      <c r="G737" s="99" t="s">
        <v>177</v>
      </c>
      <c r="H737" s="39">
        <f>SUM(H738:H739)</f>
        <v>565.80000000000007</v>
      </c>
      <c r="I737" s="39">
        <f t="shared" ref="I737:J737" si="289">SUM(I738:I739)</f>
        <v>415.7</v>
      </c>
      <c r="J737" s="39">
        <f t="shared" si="289"/>
        <v>415.7</v>
      </c>
    </row>
    <row r="738" spans="1:10" ht="25.5">
      <c r="A738" s="1"/>
      <c r="B738" s="25"/>
      <c r="C738" s="16" t="s">
        <v>103</v>
      </c>
      <c r="D738" s="16" t="s">
        <v>90</v>
      </c>
      <c r="E738" s="21" t="s">
        <v>466</v>
      </c>
      <c r="F738" s="82" t="s">
        <v>65</v>
      </c>
      <c r="G738" s="55" t="s">
        <v>131</v>
      </c>
      <c r="H738" s="39">
        <f>130+0.1-6</f>
        <v>124.1</v>
      </c>
      <c r="I738" s="39">
        <v>0</v>
      </c>
      <c r="J738" s="39">
        <v>0</v>
      </c>
    </row>
    <row r="739" spans="1:10" ht="38.25">
      <c r="A739" s="1"/>
      <c r="B739" s="25"/>
      <c r="C739" s="16" t="s">
        <v>103</v>
      </c>
      <c r="D739" s="16" t="s">
        <v>90</v>
      </c>
      <c r="E739" s="21" t="s">
        <v>466</v>
      </c>
      <c r="F739" s="82" t="s">
        <v>212</v>
      </c>
      <c r="G739" s="98" t="s">
        <v>213</v>
      </c>
      <c r="H739" s="39">
        <f>543.7-130+22+6</f>
        <v>441.70000000000005</v>
      </c>
      <c r="I739" s="39">
        <v>415.7</v>
      </c>
      <c r="J739" s="39">
        <v>415.7</v>
      </c>
    </row>
    <row r="740" spans="1:10" ht="63.75">
      <c r="A740" s="1"/>
      <c r="B740" s="25"/>
      <c r="C740" s="16" t="s">
        <v>103</v>
      </c>
      <c r="D740" s="16" t="s">
        <v>90</v>
      </c>
      <c r="E740" s="21" t="s">
        <v>467</v>
      </c>
      <c r="F740" s="21"/>
      <c r="G740" s="99" t="s">
        <v>62</v>
      </c>
      <c r="H740" s="39">
        <f>SUM(H741:H742)</f>
        <v>68.5</v>
      </c>
      <c r="I740" s="39">
        <f>SUM(I741:I742)</f>
        <v>80.599999999999994</v>
      </c>
      <c r="J740" s="39">
        <f>SUM(J741:J742)</f>
        <v>80.599999999999994</v>
      </c>
    </row>
    <row r="741" spans="1:10" ht="25.5">
      <c r="A741" s="1"/>
      <c r="B741" s="25"/>
      <c r="C741" s="16" t="s">
        <v>103</v>
      </c>
      <c r="D741" s="16" t="s">
        <v>90</v>
      </c>
      <c r="E741" s="21" t="s">
        <v>467</v>
      </c>
      <c r="F741" s="82" t="s">
        <v>65</v>
      </c>
      <c r="G741" s="55" t="s">
        <v>131</v>
      </c>
      <c r="H741" s="39">
        <f>39.6+8.4</f>
        <v>48</v>
      </c>
      <c r="I741" s="39">
        <v>39.6</v>
      </c>
      <c r="J741" s="39">
        <v>39.6</v>
      </c>
    </row>
    <row r="742" spans="1:10" ht="38.25">
      <c r="A742" s="1"/>
      <c r="B742" s="25"/>
      <c r="C742" s="16" t="s">
        <v>103</v>
      </c>
      <c r="D742" s="16" t="s">
        <v>90</v>
      </c>
      <c r="E742" s="21" t="s">
        <v>467</v>
      </c>
      <c r="F742" s="82" t="s">
        <v>212</v>
      </c>
      <c r="G742" s="98" t="s">
        <v>213</v>
      </c>
      <c r="H742" s="39">
        <f>51-30.5</f>
        <v>20.5</v>
      </c>
      <c r="I742" s="39">
        <v>41</v>
      </c>
      <c r="J742" s="39">
        <v>41</v>
      </c>
    </row>
    <row r="743" spans="1:10" ht="25.5">
      <c r="A743" s="1"/>
      <c r="B743" s="25"/>
      <c r="C743" s="16" t="s">
        <v>103</v>
      </c>
      <c r="D743" s="16" t="s">
        <v>90</v>
      </c>
      <c r="E743" s="21" t="s">
        <v>719</v>
      </c>
      <c r="F743" s="82"/>
      <c r="G743" s="98" t="s">
        <v>718</v>
      </c>
      <c r="H743" s="39">
        <f>H744</f>
        <v>5101.7</v>
      </c>
      <c r="I743" s="39">
        <f t="shared" ref="I743:J743" si="290">I744</f>
        <v>0</v>
      </c>
      <c r="J743" s="39">
        <f t="shared" si="290"/>
        <v>0</v>
      </c>
    </row>
    <row r="744" spans="1:10" ht="38.25">
      <c r="A744" s="1"/>
      <c r="B744" s="25"/>
      <c r="C744" s="16" t="s">
        <v>103</v>
      </c>
      <c r="D744" s="16" t="s">
        <v>90</v>
      </c>
      <c r="E744" s="21" t="s">
        <v>719</v>
      </c>
      <c r="F744" s="82" t="s">
        <v>212</v>
      </c>
      <c r="G744" s="98" t="s">
        <v>213</v>
      </c>
      <c r="H744" s="39">
        <v>5101.7</v>
      </c>
      <c r="I744" s="39">
        <v>0</v>
      </c>
      <c r="J744" s="39">
        <v>0</v>
      </c>
    </row>
    <row r="745" spans="1:10" ht="38.25" customHeight="1">
      <c r="A745" s="1"/>
      <c r="B745" s="25"/>
      <c r="C745" s="16" t="s">
        <v>103</v>
      </c>
      <c r="D745" s="16" t="s">
        <v>90</v>
      </c>
      <c r="E745" s="21" t="s">
        <v>687</v>
      </c>
      <c r="F745" s="82"/>
      <c r="G745" s="98" t="s">
        <v>686</v>
      </c>
      <c r="H745" s="39">
        <f>H746+H748</f>
        <v>250</v>
      </c>
      <c r="I745" s="39">
        <f t="shared" ref="I745:J745" si="291">I746</f>
        <v>0</v>
      </c>
      <c r="J745" s="39">
        <f t="shared" si="291"/>
        <v>0</v>
      </c>
    </row>
    <row r="746" spans="1:10" ht="51">
      <c r="A746" s="1"/>
      <c r="B746" s="25"/>
      <c r="C746" s="16" t="s">
        <v>103</v>
      </c>
      <c r="D746" s="16" t="s">
        <v>90</v>
      </c>
      <c r="E746" s="21" t="s">
        <v>676</v>
      </c>
      <c r="F746" s="82"/>
      <c r="G746" s="98" t="s">
        <v>677</v>
      </c>
      <c r="H746" s="39">
        <f t="shared" ref="H746:J746" si="292">H747</f>
        <v>50</v>
      </c>
      <c r="I746" s="39">
        <f t="shared" si="292"/>
        <v>0</v>
      </c>
      <c r="J746" s="39">
        <f t="shared" si="292"/>
        <v>0</v>
      </c>
    </row>
    <row r="747" spans="1:10" ht="38.25">
      <c r="A747" s="1"/>
      <c r="B747" s="25"/>
      <c r="C747" s="16" t="s">
        <v>103</v>
      </c>
      <c r="D747" s="16" t="s">
        <v>90</v>
      </c>
      <c r="E747" s="21" t="s">
        <v>676</v>
      </c>
      <c r="F747" s="82" t="s">
        <v>212</v>
      </c>
      <c r="G747" s="98" t="s">
        <v>213</v>
      </c>
      <c r="H747" s="39">
        <v>50</v>
      </c>
      <c r="I747" s="39">
        <v>0</v>
      </c>
      <c r="J747" s="39">
        <v>0</v>
      </c>
    </row>
    <row r="748" spans="1:10" ht="37.5" customHeight="1">
      <c r="A748" s="1"/>
      <c r="B748" s="25"/>
      <c r="C748" s="16" t="s">
        <v>103</v>
      </c>
      <c r="D748" s="16" t="s">
        <v>90</v>
      </c>
      <c r="E748" s="21" t="s">
        <v>731</v>
      </c>
      <c r="F748" s="82"/>
      <c r="G748" s="98" t="s">
        <v>732</v>
      </c>
      <c r="H748" s="39">
        <f>H749</f>
        <v>200</v>
      </c>
      <c r="I748" s="39">
        <f t="shared" ref="I748:J748" si="293">I749</f>
        <v>0</v>
      </c>
      <c r="J748" s="39">
        <f t="shared" si="293"/>
        <v>0</v>
      </c>
    </row>
    <row r="749" spans="1:10" ht="38.25">
      <c r="A749" s="1"/>
      <c r="B749" s="25"/>
      <c r="C749" s="16" t="s">
        <v>103</v>
      </c>
      <c r="D749" s="16" t="s">
        <v>90</v>
      </c>
      <c r="E749" s="21" t="s">
        <v>731</v>
      </c>
      <c r="F749" s="82" t="s">
        <v>212</v>
      </c>
      <c r="G749" s="98" t="s">
        <v>213</v>
      </c>
      <c r="H749" s="39">
        <v>200</v>
      </c>
      <c r="I749" s="39">
        <v>0</v>
      </c>
      <c r="J749" s="39">
        <v>0</v>
      </c>
    </row>
    <row r="750" spans="1:10" s="8" customFormat="1" ht="74.25" customHeight="1">
      <c r="A750" s="3">
        <v>6</v>
      </c>
      <c r="B750" s="91">
        <v>902</v>
      </c>
      <c r="C750" s="13"/>
      <c r="D750" s="13"/>
      <c r="E750" s="13"/>
      <c r="F750" s="13"/>
      <c r="G750" s="14" t="s">
        <v>198</v>
      </c>
      <c r="H750" s="92">
        <f>H751+H763</f>
        <v>11243.9</v>
      </c>
      <c r="I750" s="92">
        <f t="shared" ref="I750:J750" si="294">I751+I763</f>
        <v>11338.5</v>
      </c>
      <c r="J750" s="92">
        <f t="shared" si="294"/>
        <v>11313.5</v>
      </c>
    </row>
    <row r="751" spans="1:10" ht="15.75">
      <c r="A751" s="3"/>
      <c r="B751" s="91"/>
      <c r="C751" s="4" t="s">
        <v>89</v>
      </c>
      <c r="D751" s="11"/>
      <c r="E751" s="11"/>
      <c r="F751" s="11"/>
      <c r="G751" s="15" t="s">
        <v>92</v>
      </c>
      <c r="H751" s="92">
        <f>H752+H759</f>
        <v>11218.9</v>
      </c>
      <c r="I751" s="92">
        <f>I752+I759</f>
        <v>11313.5</v>
      </c>
      <c r="J751" s="92">
        <f>J752+J759</f>
        <v>11313.5</v>
      </c>
    </row>
    <row r="752" spans="1:10" s="37" customFormat="1" ht="52.5" customHeight="1">
      <c r="A752" s="27"/>
      <c r="B752" s="70"/>
      <c r="C752" s="35" t="s">
        <v>89</v>
      </c>
      <c r="D752" s="35" t="s">
        <v>97</v>
      </c>
      <c r="E752" s="35"/>
      <c r="F752" s="35"/>
      <c r="G752" s="46" t="s">
        <v>126</v>
      </c>
      <c r="H752" s="42">
        <f t="shared" ref="H752:J753" si="295">SUM(H753)</f>
        <v>10968.9</v>
      </c>
      <c r="I752" s="42">
        <f t="shared" si="295"/>
        <v>10813.5</v>
      </c>
      <c r="J752" s="42">
        <f t="shared" si="295"/>
        <v>10813.5</v>
      </c>
    </row>
    <row r="753" spans="1:12" ht="25.5">
      <c r="A753" s="1"/>
      <c r="B753" s="25"/>
      <c r="C753" s="16" t="s">
        <v>89</v>
      </c>
      <c r="D753" s="16" t="s">
        <v>97</v>
      </c>
      <c r="E753" s="79">
        <v>9900000000</v>
      </c>
      <c r="F753" s="16"/>
      <c r="G753" s="55" t="s">
        <v>145</v>
      </c>
      <c r="H753" s="39">
        <f t="shared" si="295"/>
        <v>10968.9</v>
      </c>
      <c r="I753" s="39">
        <f t="shared" si="295"/>
        <v>10813.5</v>
      </c>
      <c r="J753" s="39">
        <f t="shared" si="295"/>
        <v>10813.5</v>
      </c>
    </row>
    <row r="754" spans="1:12" ht="38.25">
      <c r="A754" s="1"/>
      <c r="B754" s="25"/>
      <c r="C754" s="16" t="s">
        <v>89</v>
      </c>
      <c r="D754" s="16" t="s">
        <v>97</v>
      </c>
      <c r="E754" s="79">
        <v>9980000000</v>
      </c>
      <c r="F754" s="16"/>
      <c r="G754" s="54" t="s">
        <v>30</v>
      </c>
      <c r="H754" s="39">
        <f t="shared" ref="H754:J754" si="296">H755</f>
        <v>10968.9</v>
      </c>
      <c r="I754" s="39">
        <f t="shared" si="296"/>
        <v>10813.5</v>
      </c>
      <c r="J754" s="39">
        <f t="shared" si="296"/>
        <v>10813.5</v>
      </c>
    </row>
    <row r="755" spans="1:12">
      <c r="A755" s="1"/>
      <c r="B755" s="25"/>
      <c r="C755" s="16" t="s">
        <v>89</v>
      </c>
      <c r="D755" s="16" t="s">
        <v>97</v>
      </c>
      <c r="E755" s="79">
        <v>9980022200</v>
      </c>
      <c r="F755" s="21"/>
      <c r="G755" s="99" t="s">
        <v>116</v>
      </c>
      <c r="H755" s="39">
        <f>SUM(H756:H758)</f>
        <v>10968.9</v>
      </c>
      <c r="I755" s="39">
        <f t="shared" ref="I755:J755" si="297">SUM(I756:I758)</f>
        <v>10813.5</v>
      </c>
      <c r="J755" s="39">
        <f t="shared" si="297"/>
        <v>10813.5</v>
      </c>
    </row>
    <row r="756" spans="1:12" ht="38.25">
      <c r="A756" s="1"/>
      <c r="B756" s="25"/>
      <c r="C756" s="16" t="s">
        <v>89</v>
      </c>
      <c r="D756" s="16" t="s">
        <v>97</v>
      </c>
      <c r="E756" s="79">
        <v>9980022200</v>
      </c>
      <c r="F756" s="16" t="s">
        <v>63</v>
      </c>
      <c r="G756" s="102" t="s">
        <v>64</v>
      </c>
      <c r="H756" s="39">
        <f>9404.1+64.1+940.4-64.1+56.5+48.6+99+81</f>
        <v>10629.6</v>
      </c>
      <c r="I756" s="39">
        <f>9404.1+940.5</f>
        <v>10344.6</v>
      </c>
      <c r="J756" s="39">
        <f>9404.1+940.5</f>
        <v>10344.6</v>
      </c>
    </row>
    <row r="757" spans="1:12" ht="38.25">
      <c r="A757" s="1"/>
      <c r="B757" s="25"/>
      <c r="C757" s="16" t="s">
        <v>89</v>
      </c>
      <c r="D757" s="16" t="s">
        <v>97</v>
      </c>
      <c r="E757" s="79">
        <v>9980022200</v>
      </c>
      <c r="F757" s="82" t="s">
        <v>212</v>
      </c>
      <c r="G757" s="98" t="s">
        <v>213</v>
      </c>
      <c r="H757" s="39">
        <f>468.9-3-48.6-81</f>
        <v>336.29999999999995</v>
      </c>
      <c r="I757" s="39">
        <v>468.9</v>
      </c>
      <c r="J757" s="39">
        <v>468.9</v>
      </c>
    </row>
    <row r="758" spans="1:12">
      <c r="A758" s="1"/>
      <c r="B758" s="25"/>
      <c r="C758" s="16" t="s">
        <v>89</v>
      </c>
      <c r="D758" s="16" t="s">
        <v>97</v>
      </c>
      <c r="E758" s="79">
        <v>9980022200</v>
      </c>
      <c r="F758" s="82" t="s">
        <v>716</v>
      </c>
      <c r="G758" s="98" t="s">
        <v>717</v>
      </c>
      <c r="H758" s="39">
        <v>3</v>
      </c>
      <c r="I758" s="39">
        <v>0</v>
      </c>
      <c r="J758" s="39">
        <v>0</v>
      </c>
    </row>
    <row r="759" spans="1:12" ht="14.25">
      <c r="A759" s="1"/>
      <c r="B759" s="25"/>
      <c r="C759" s="35" t="s">
        <v>89</v>
      </c>
      <c r="D759" s="35" t="s">
        <v>103</v>
      </c>
      <c r="E759" s="35"/>
      <c r="F759" s="35"/>
      <c r="G759" s="27" t="s">
        <v>5</v>
      </c>
      <c r="H759" s="42">
        <f t="shared" ref="H759:J761" si="298">H760</f>
        <v>250</v>
      </c>
      <c r="I759" s="42">
        <f t="shared" si="298"/>
        <v>500</v>
      </c>
      <c r="J759" s="42">
        <f t="shared" si="298"/>
        <v>500</v>
      </c>
    </row>
    <row r="760" spans="1:12" ht="14.25">
      <c r="A760" s="1"/>
      <c r="B760" s="25"/>
      <c r="C760" s="16" t="s">
        <v>89</v>
      </c>
      <c r="D760" s="16" t="s">
        <v>103</v>
      </c>
      <c r="E760" s="79">
        <v>9920000000</v>
      </c>
      <c r="F760" s="35"/>
      <c r="G760" s="126" t="s">
        <v>5</v>
      </c>
      <c r="H760" s="42">
        <f t="shared" si="298"/>
        <v>250</v>
      </c>
      <c r="I760" s="42">
        <f t="shared" si="298"/>
        <v>500</v>
      </c>
      <c r="J760" s="42">
        <f t="shared" si="298"/>
        <v>500</v>
      </c>
    </row>
    <row r="761" spans="1:12" ht="25.5">
      <c r="A761" s="1"/>
      <c r="B761" s="25"/>
      <c r="C761" s="16" t="s">
        <v>89</v>
      </c>
      <c r="D761" s="16" t="s">
        <v>103</v>
      </c>
      <c r="E761" s="79">
        <v>9920026100</v>
      </c>
      <c r="F761" s="21"/>
      <c r="G761" s="99" t="s">
        <v>11</v>
      </c>
      <c r="H761" s="39">
        <f t="shared" si="298"/>
        <v>250</v>
      </c>
      <c r="I761" s="39">
        <f t="shared" si="298"/>
        <v>500</v>
      </c>
      <c r="J761" s="39">
        <f t="shared" si="298"/>
        <v>500</v>
      </c>
    </row>
    <row r="762" spans="1:12">
      <c r="A762" s="1"/>
      <c r="B762" s="25"/>
      <c r="C762" s="16" t="s">
        <v>89</v>
      </c>
      <c r="D762" s="16" t="s">
        <v>103</v>
      </c>
      <c r="E762" s="79">
        <v>9920026100</v>
      </c>
      <c r="F762" s="16" t="s">
        <v>85</v>
      </c>
      <c r="G762" s="98" t="s">
        <v>86</v>
      </c>
      <c r="H762" s="39">
        <f>500+100-50-300</f>
        <v>250</v>
      </c>
      <c r="I762" s="39">
        <v>500</v>
      </c>
      <c r="J762" s="39">
        <v>500</v>
      </c>
    </row>
    <row r="763" spans="1:12" ht="32.25" customHeight="1">
      <c r="B763" s="25"/>
      <c r="C763" s="4" t="s">
        <v>9</v>
      </c>
      <c r="D763" s="5"/>
      <c r="E763" s="147"/>
      <c r="F763" s="147"/>
      <c r="G763" s="49" t="s">
        <v>646</v>
      </c>
      <c r="H763" s="96">
        <f>H764</f>
        <v>25</v>
      </c>
      <c r="I763" s="96">
        <f t="shared" ref="I763:J766" si="299">I764</f>
        <v>25</v>
      </c>
      <c r="J763" s="96">
        <f t="shared" si="299"/>
        <v>0</v>
      </c>
      <c r="L763" s="103"/>
    </row>
    <row r="764" spans="1:12" ht="25.5">
      <c r="B764" s="25"/>
      <c r="C764" s="47" t="s">
        <v>9</v>
      </c>
      <c r="D764" s="47" t="s">
        <v>89</v>
      </c>
      <c r="E764" s="23"/>
      <c r="F764" s="23"/>
      <c r="G764" s="48" t="s">
        <v>647</v>
      </c>
      <c r="H764" s="93">
        <f>H765</f>
        <v>25</v>
      </c>
      <c r="I764" s="93">
        <f t="shared" si="299"/>
        <v>25</v>
      </c>
      <c r="J764" s="93">
        <f t="shared" si="299"/>
        <v>0</v>
      </c>
    </row>
    <row r="765" spans="1:12" ht="38.25">
      <c r="B765" s="25"/>
      <c r="C765" s="82" t="s">
        <v>9</v>
      </c>
      <c r="D765" s="82" t="s">
        <v>89</v>
      </c>
      <c r="E765" s="82" t="s">
        <v>25</v>
      </c>
      <c r="F765" s="82"/>
      <c r="G765" s="99" t="s">
        <v>39</v>
      </c>
      <c r="H765" s="39">
        <f>H766</f>
        <v>25</v>
      </c>
      <c r="I765" s="39">
        <f t="shared" si="299"/>
        <v>25</v>
      </c>
      <c r="J765" s="39">
        <f t="shared" si="299"/>
        <v>0</v>
      </c>
    </row>
    <row r="766" spans="1:12" ht="25.5">
      <c r="B766" s="25"/>
      <c r="C766" s="82" t="s">
        <v>9</v>
      </c>
      <c r="D766" s="82" t="s">
        <v>89</v>
      </c>
      <c r="E766" s="1">
        <v>9940026500</v>
      </c>
      <c r="F766" s="1"/>
      <c r="G766" s="99" t="s">
        <v>648</v>
      </c>
      <c r="H766" s="39">
        <f>H767</f>
        <v>25</v>
      </c>
      <c r="I766" s="39">
        <f t="shared" si="299"/>
        <v>25</v>
      </c>
      <c r="J766" s="39">
        <f t="shared" si="299"/>
        <v>0</v>
      </c>
    </row>
    <row r="767" spans="1:12">
      <c r="B767" s="25"/>
      <c r="C767" s="82" t="s">
        <v>9</v>
      </c>
      <c r="D767" s="82" t="s">
        <v>89</v>
      </c>
      <c r="E767" s="1">
        <v>9940026500</v>
      </c>
      <c r="F767" s="82" t="s">
        <v>649</v>
      </c>
      <c r="G767" s="1" t="s">
        <v>650</v>
      </c>
      <c r="H767" s="39">
        <f>20.8+4.2</f>
        <v>25</v>
      </c>
      <c r="I767" s="39">
        <f>20.8+4.2</f>
        <v>25</v>
      </c>
      <c r="J767"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33"/>
  <sheetViews>
    <sheetView tabSelected="1" workbookViewId="0">
      <selection activeCell="D5" sqref="D5"/>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7" t="s">
        <v>318</v>
      </c>
    </row>
    <row r="2" spans="1:6">
      <c r="C2" s="127" t="s">
        <v>604</v>
      </c>
    </row>
    <row r="3" spans="1:6">
      <c r="C3" s="127" t="s">
        <v>784</v>
      </c>
    </row>
    <row r="4" spans="1:6">
      <c r="C4" s="127" t="s">
        <v>682</v>
      </c>
    </row>
    <row r="5" spans="1:6">
      <c r="C5" s="127" t="s">
        <v>684</v>
      </c>
    </row>
    <row r="6" spans="1:6">
      <c r="C6" s="127" t="s">
        <v>144</v>
      </c>
    </row>
    <row r="7" spans="1:6">
      <c r="C7" s="127" t="s">
        <v>629</v>
      </c>
    </row>
    <row r="8" spans="1:6">
      <c r="C8" s="85"/>
    </row>
    <row r="9" spans="1:6">
      <c r="C9" s="127" t="s">
        <v>318</v>
      </c>
      <c r="D9" s="88"/>
      <c r="E9" s="89"/>
      <c r="F9" s="89"/>
    </row>
    <row r="10" spans="1:6">
      <c r="C10" s="127" t="s">
        <v>380</v>
      </c>
      <c r="D10" s="88"/>
      <c r="E10" s="89"/>
      <c r="F10" s="89"/>
    </row>
    <row r="11" spans="1:6">
      <c r="C11" s="127" t="s">
        <v>678</v>
      </c>
      <c r="D11" s="88"/>
      <c r="E11" s="89"/>
      <c r="F11" s="89"/>
    </row>
    <row r="12" spans="1:6">
      <c r="C12" s="127" t="s">
        <v>144</v>
      </c>
      <c r="D12" s="88"/>
      <c r="E12" s="89"/>
      <c r="F12" s="89"/>
    </row>
    <row r="13" spans="1:6">
      <c r="C13" s="127" t="s">
        <v>629</v>
      </c>
      <c r="D13" s="44"/>
    </row>
    <row r="14" spans="1:6">
      <c r="C14" s="85"/>
      <c r="D14" s="44"/>
    </row>
    <row r="15" spans="1:6" ht="64.5" customHeight="1">
      <c r="A15" s="178" t="s">
        <v>631</v>
      </c>
      <c r="B15" s="197"/>
      <c r="C15" s="197"/>
      <c r="D15" s="197"/>
      <c r="E15" s="197"/>
      <c r="F15" s="197"/>
    </row>
    <row r="16" spans="1:6" ht="15">
      <c r="A16" s="109"/>
      <c r="B16" s="110"/>
      <c r="C16" s="110"/>
      <c r="D16" s="110"/>
      <c r="E16" s="110"/>
      <c r="F16" s="110"/>
    </row>
    <row r="17" spans="1:7">
      <c r="D17" s="6"/>
    </row>
    <row r="18" spans="1:7">
      <c r="A18" s="184" t="s">
        <v>120</v>
      </c>
      <c r="B18" s="184" t="s">
        <v>114</v>
      </c>
      <c r="C18" s="194" t="s">
        <v>273</v>
      </c>
      <c r="D18" s="190" t="s">
        <v>28</v>
      </c>
      <c r="E18" s="177"/>
      <c r="F18" s="177"/>
    </row>
    <row r="19" spans="1:7">
      <c r="A19" s="185"/>
      <c r="B19" s="185"/>
      <c r="C19" s="195"/>
      <c r="D19" s="194" t="s">
        <v>382</v>
      </c>
      <c r="E19" s="177" t="s">
        <v>141</v>
      </c>
      <c r="F19" s="177"/>
    </row>
    <row r="20" spans="1:7">
      <c r="A20" s="186"/>
      <c r="B20" s="186"/>
      <c r="C20" s="196"/>
      <c r="D20" s="196"/>
      <c r="E20" s="144" t="s">
        <v>482</v>
      </c>
      <c r="F20" s="144" t="s">
        <v>632</v>
      </c>
    </row>
    <row r="21" spans="1:7">
      <c r="A21" s="2">
        <v>3</v>
      </c>
      <c r="B21" s="2">
        <v>4</v>
      </c>
      <c r="C21" s="2">
        <v>5</v>
      </c>
      <c r="D21" s="2">
        <v>6</v>
      </c>
      <c r="E21" s="2">
        <v>7</v>
      </c>
      <c r="F21" s="2">
        <v>8</v>
      </c>
    </row>
    <row r="22" spans="1:7" ht="18">
      <c r="A22" s="2"/>
      <c r="B22" s="2"/>
      <c r="C22" s="9" t="s">
        <v>93</v>
      </c>
      <c r="D22" s="162">
        <f>D23+D578</f>
        <v>1247135.1000000001</v>
      </c>
      <c r="E22" s="163">
        <f>E23+E578</f>
        <v>1051187.2000000002</v>
      </c>
      <c r="F22" s="163">
        <f>F23+F578</f>
        <v>1049590.0999999999</v>
      </c>
    </row>
    <row r="23" spans="1:7" ht="15.75">
      <c r="A23" s="2"/>
      <c r="B23" s="2"/>
      <c r="C23" s="3" t="s">
        <v>366</v>
      </c>
      <c r="D23" s="148">
        <f>D24+D146+D227+D252+D307+D339+D346+D374+D385+D418+D435+D459+D504+D526+D536+D554</f>
        <v>1126681.7000000002</v>
      </c>
      <c r="E23" s="148">
        <f>E24+E146+E227+E252+E307+E339+E346+E374+E385+E418+E435+E459+E504+E526+E536+E554</f>
        <v>934239.80000000016</v>
      </c>
      <c r="F23" s="148">
        <f>F24+F146+F227+F252+F307+F339+F346+F374+F385+F418+F435+F459+F504+F526+F536+F554</f>
        <v>934102.29999999993</v>
      </c>
    </row>
    <row r="24" spans="1:7" ht="67.5" customHeight="1">
      <c r="A24" s="73" t="s">
        <v>74</v>
      </c>
      <c r="B24" s="35"/>
      <c r="C24" s="64" t="s">
        <v>610</v>
      </c>
      <c r="D24" s="62">
        <f>D25+D44+D93+D114+D142</f>
        <v>645399.29999999993</v>
      </c>
      <c r="E24" s="62">
        <f>E25+E44+E93+E114+E142</f>
        <v>613999.89999999991</v>
      </c>
      <c r="F24" s="62">
        <f>F25+F44+F93+F114+F142</f>
        <v>603835.49999999988</v>
      </c>
      <c r="G24" s="103"/>
    </row>
    <row r="25" spans="1:7" ht="25.5">
      <c r="A25" s="52" t="s">
        <v>75</v>
      </c>
      <c r="B25" s="35"/>
      <c r="C25" s="46" t="s">
        <v>400</v>
      </c>
      <c r="D25" s="94">
        <f>D26+D35+D40</f>
        <v>179502.69999999998</v>
      </c>
      <c r="E25" s="94">
        <f>E26+E35+E40</f>
        <v>173040.90000000002</v>
      </c>
      <c r="F25" s="94">
        <f>F26+F35+F40</f>
        <v>172663.80000000002</v>
      </c>
      <c r="G25" s="103"/>
    </row>
    <row r="26" spans="1:7" ht="38.25">
      <c r="A26" s="21" t="s">
        <v>338</v>
      </c>
      <c r="B26" s="35"/>
      <c r="C26" s="97" t="s">
        <v>401</v>
      </c>
      <c r="D26" s="94">
        <f>D27+D29+D31+D33</f>
        <v>165931.89999999997</v>
      </c>
      <c r="E26" s="94">
        <f t="shared" ref="E26:F26" si="0">E27+E29+E31+E33</f>
        <v>159595.70000000001</v>
      </c>
      <c r="F26" s="94">
        <f t="shared" si="0"/>
        <v>159595.70000000001</v>
      </c>
      <c r="G26" s="103"/>
    </row>
    <row r="27" spans="1:7" ht="51" customHeight="1">
      <c r="A27" s="21" t="s">
        <v>390</v>
      </c>
      <c r="B27" s="21"/>
      <c r="C27" s="98" t="s">
        <v>389</v>
      </c>
      <c r="D27" s="94">
        <f>D28</f>
        <v>94366.399999999994</v>
      </c>
      <c r="E27" s="94">
        <f t="shared" ref="E27:F27" si="1">E28</f>
        <v>88408.6</v>
      </c>
      <c r="F27" s="94">
        <f t="shared" si="1"/>
        <v>88408.6</v>
      </c>
      <c r="G27" s="103"/>
    </row>
    <row r="28" spans="1:7">
      <c r="A28" s="21" t="s">
        <v>390</v>
      </c>
      <c r="B28" s="21" t="s">
        <v>226</v>
      </c>
      <c r="C28" s="98" t="s">
        <v>225</v>
      </c>
      <c r="D28" s="1">
        <f>88408.6+2099.9+3857.9</f>
        <v>94366.399999999994</v>
      </c>
      <c r="E28" s="1">
        <v>88408.6</v>
      </c>
      <c r="F28" s="1">
        <v>88408.6</v>
      </c>
      <c r="G28" s="103"/>
    </row>
    <row r="29" spans="1:7" ht="64.5" customHeight="1">
      <c r="A29" s="132" t="s">
        <v>392</v>
      </c>
      <c r="B29" s="21"/>
      <c r="C29" s="98" t="s">
        <v>391</v>
      </c>
      <c r="D29" s="94">
        <f>D30</f>
        <v>70711.999999999985</v>
      </c>
      <c r="E29" s="94">
        <f t="shared" ref="E29:F29" si="2">E30</f>
        <v>71187.099999999991</v>
      </c>
      <c r="F29" s="94">
        <f t="shared" si="2"/>
        <v>71187.099999999991</v>
      </c>
      <c r="G29" s="103"/>
    </row>
    <row r="30" spans="1:7" ht="15">
      <c r="A30" s="132" t="s">
        <v>392</v>
      </c>
      <c r="B30" s="21" t="s">
        <v>226</v>
      </c>
      <c r="C30" s="98" t="s">
        <v>225</v>
      </c>
      <c r="D30" s="94">
        <f>68790.2+2396.9-466.6-8.5</f>
        <v>70711.999999999985</v>
      </c>
      <c r="E30" s="94">
        <f>68790.2+2396.9</f>
        <v>71187.099999999991</v>
      </c>
      <c r="F30" s="94">
        <f>68790.2+2396.9</f>
        <v>71187.099999999991</v>
      </c>
      <c r="G30" s="103"/>
    </row>
    <row r="31" spans="1:7" ht="51">
      <c r="A31" s="168" t="s">
        <v>767</v>
      </c>
      <c r="B31" s="21"/>
      <c r="C31" s="98" t="s">
        <v>768</v>
      </c>
      <c r="D31" s="94">
        <f>D32</f>
        <v>845</v>
      </c>
      <c r="E31" s="94">
        <f t="shared" ref="E31:F33" si="3">E32</f>
        <v>0</v>
      </c>
      <c r="F31" s="94">
        <f t="shared" si="3"/>
        <v>0</v>
      </c>
      <c r="G31" s="103"/>
    </row>
    <row r="32" spans="1:7" ht="15">
      <c r="A32" s="169" t="s">
        <v>767</v>
      </c>
      <c r="B32" s="21" t="s">
        <v>226</v>
      </c>
      <c r="C32" s="98" t="s">
        <v>225</v>
      </c>
      <c r="D32" s="39">
        <v>845</v>
      </c>
      <c r="E32" s="94">
        <v>0</v>
      </c>
      <c r="F32" s="94">
        <v>0</v>
      </c>
      <c r="G32" s="103"/>
    </row>
    <row r="33" spans="1:7" ht="51.75" customHeight="1">
      <c r="A33" s="168" t="s">
        <v>769</v>
      </c>
      <c r="B33" s="21"/>
      <c r="C33" s="108" t="s">
        <v>770</v>
      </c>
      <c r="D33" s="94">
        <f>D34</f>
        <v>8.5</v>
      </c>
      <c r="E33" s="94">
        <f t="shared" si="3"/>
        <v>0</v>
      </c>
      <c r="F33" s="94">
        <f t="shared" si="3"/>
        <v>0</v>
      </c>
      <c r="G33" s="103"/>
    </row>
    <row r="34" spans="1:7" ht="15">
      <c r="A34" s="168" t="s">
        <v>769</v>
      </c>
      <c r="B34" s="21" t="s">
        <v>226</v>
      </c>
      <c r="C34" s="98" t="s">
        <v>225</v>
      </c>
      <c r="D34" s="1">
        <v>8.5</v>
      </c>
      <c r="E34" s="94">
        <v>0</v>
      </c>
      <c r="F34" s="94">
        <v>0</v>
      </c>
      <c r="G34" s="103"/>
    </row>
    <row r="35" spans="1:7" ht="26.25" customHeight="1">
      <c r="A35" s="21" t="s">
        <v>285</v>
      </c>
      <c r="B35" s="35"/>
      <c r="C35" s="97" t="s">
        <v>393</v>
      </c>
      <c r="D35" s="94">
        <f>D36+D38</f>
        <v>502.70000000000005</v>
      </c>
      <c r="E35" s="94">
        <f t="shared" ref="E35:F35" si="4">E36+E38</f>
        <v>377.1</v>
      </c>
      <c r="F35" s="94">
        <f t="shared" si="4"/>
        <v>0</v>
      </c>
      <c r="G35" s="103"/>
    </row>
    <row r="36" spans="1:7" ht="52.5" customHeight="1">
      <c r="A36" s="21" t="s">
        <v>395</v>
      </c>
      <c r="B36" s="57"/>
      <c r="C36" s="97" t="s">
        <v>394</v>
      </c>
      <c r="D36" s="94">
        <f>D37</f>
        <v>502.70000000000005</v>
      </c>
      <c r="E36" s="94">
        <f t="shared" ref="E36:F36" si="5">E37</f>
        <v>227.1</v>
      </c>
      <c r="F36" s="94">
        <f t="shared" si="5"/>
        <v>0</v>
      </c>
      <c r="G36" s="103"/>
    </row>
    <row r="37" spans="1:7">
      <c r="A37" s="21" t="s">
        <v>395</v>
      </c>
      <c r="B37" s="21" t="s">
        <v>226</v>
      </c>
      <c r="C37" s="98" t="s">
        <v>225</v>
      </c>
      <c r="D37" s="94">
        <f>227.1+275.6</f>
        <v>502.70000000000005</v>
      </c>
      <c r="E37" s="94">
        <v>227.1</v>
      </c>
      <c r="F37" s="94">
        <v>0</v>
      </c>
      <c r="G37" s="103"/>
    </row>
    <row r="38" spans="1:7" ht="54.75" customHeight="1">
      <c r="A38" s="57" t="s">
        <v>396</v>
      </c>
      <c r="B38" s="21"/>
      <c r="C38" s="98" t="s">
        <v>379</v>
      </c>
      <c r="D38" s="94">
        <f>D39</f>
        <v>0</v>
      </c>
      <c r="E38" s="94">
        <f t="shared" ref="E38:F38" si="6">E39</f>
        <v>150</v>
      </c>
      <c r="F38" s="94">
        <f t="shared" si="6"/>
        <v>0</v>
      </c>
      <c r="G38" s="103"/>
    </row>
    <row r="39" spans="1:7">
      <c r="A39" s="57" t="s">
        <v>396</v>
      </c>
      <c r="B39" s="21" t="s">
        <v>226</v>
      </c>
      <c r="C39" s="98" t="s">
        <v>225</v>
      </c>
      <c r="D39" s="94">
        <f>150-150</f>
        <v>0</v>
      </c>
      <c r="E39" s="94">
        <v>150</v>
      </c>
      <c r="F39" s="94">
        <v>0</v>
      </c>
      <c r="G39" s="129"/>
    </row>
    <row r="40" spans="1:7" ht="25.5">
      <c r="A40" s="21" t="s">
        <v>286</v>
      </c>
      <c r="B40" s="21"/>
      <c r="C40" s="97" t="s">
        <v>397</v>
      </c>
      <c r="D40" s="94">
        <f>D41</f>
        <v>13068.1</v>
      </c>
      <c r="E40" s="94">
        <f>E41</f>
        <v>13068.1</v>
      </c>
      <c r="F40" s="94">
        <f>F41</f>
        <v>13068.1</v>
      </c>
      <c r="G40" s="103"/>
    </row>
    <row r="41" spans="1:7" ht="78.75" customHeight="1">
      <c r="A41" s="57" t="s">
        <v>399</v>
      </c>
      <c r="B41" s="21"/>
      <c r="C41" s="98" t="s">
        <v>398</v>
      </c>
      <c r="D41" s="94">
        <f>D42+D43</f>
        <v>13068.1</v>
      </c>
      <c r="E41" s="94">
        <f>E42+E43</f>
        <v>13068.1</v>
      </c>
      <c r="F41" s="94">
        <f>F42+F43</f>
        <v>13068.1</v>
      </c>
      <c r="G41" s="103"/>
    </row>
    <row r="42" spans="1:7" ht="38.25">
      <c r="A42" s="57" t="s">
        <v>399</v>
      </c>
      <c r="B42" s="82" t="s">
        <v>212</v>
      </c>
      <c r="C42" s="98" t="s">
        <v>213</v>
      </c>
      <c r="D42" s="94">
        <v>330</v>
      </c>
      <c r="E42" s="94">
        <v>330</v>
      </c>
      <c r="F42" s="94">
        <v>330</v>
      </c>
      <c r="G42" s="103"/>
    </row>
    <row r="43" spans="1:7" ht="25.5" customHeight="1">
      <c r="A43" s="57" t="s">
        <v>399</v>
      </c>
      <c r="B43" s="82" t="s">
        <v>263</v>
      </c>
      <c r="C43" s="98" t="s">
        <v>252</v>
      </c>
      <c r="D43" s="94">
        <v>12738.1</v>
      </c>
      <c r="E43" s="94">
        <v>12738.1</v>
      </c>
      <c r="F43" s="94">
        <v>12738.1</v>
      </c>
      <c r="G43" s="103"/>
    </row>
    <row r="44" spans="1:7" ht="38.25">
      <c r="A44" s="52" t="s">
        <v>76</v>
      </c>
      <c r="B44" s="21"/>
      <c r="C44" s="46" t="s">
        <v>597</v>
      </c>
      <c r="D44" s="94">
        <f>D45+D56+D65+D72+D85+D90</f>
        <v>405234.8</v>
      </c>
      <c r="E44" s="94">
        <f t="shared" ref="E44:F44" si="7">E45+E56+E65+E72+E85+E90</f>
        <v>383403.89999999997</v>
      </c>
      <c r="F44" s="94">
        <f t="shared" si="7"/>
        <v>373821.1</v>
      </c>
      <c r="G44" s="103"/>
    </row>
    <row r="45" spans="1:7" ht="51">
      <c r="A45" s="21" t="s">
        <v>290</v>
      </c>
      <c r="B45" s="35"/>
      <c r="C45" s="97" t="s">
        <v>402</v>
      </c>
      <c r="D45" s="94">
        <f>D46+D48+D50+D52+D54</f>
        <v>353176.5</v>
      </c>
      <c r="E45" s="94">
        <f t="shared" ref="E45:F45" si="8">E46+E48+E50+E52+E54</f>
        <v>325062.3</v>
      </c>
      <c r="F45" s="94">
        <f t="shared" si="8"/>
        <v>325062.3</v>
      </c>
      <c r="G45" s="103"/>
    </row>
    <row r="46" spans="1:7" ht="66.75" customHeight="1">
      <c r="A46" s="82" t="s">
        <v>404</v>
      </c>
      <c r="B46" s="82"/>
      <c r="C46" s="98" t="s">
        <v>403</v>
      </c>
      <c r="D46" s="94">
        <f>D47</f>
        <v>250068.3</v>
      </c>
      <c r="E46" s="94">
        <f>E47</f>
        <v>222855.8</v>
      </c>
      <c r="F46" s="94">
        <f>F47</f>
        <v>222855.8</v>
      </c>
      <c r="G46" s="103"/>
    </row>
    <row r="47" spans="1:7">
      <c r="A47" s="57" t="s">
        <v>404</v>
      </c>
      <c r="B47" s="21" t="s">
        <v>226</v>
      </c>
      <c r="C47" s="98" t="s">
        <v>225</v>
      </c>
      <c r="D47" s="39">
        <f>222855.8+14016+13196.5</f>
        <v>250068.3</v>
      </c>
      <c r="E47" s="39">
        <v>222855.8</v>
      </c>
      <c r="F47" s="39">
        <v>222855.8</v>
      </c>
      <c r="G47" s="103"/>
    </row>
    <row r="48" spans="1:7" ht="66.75" customHeight="1">
      <c r="A48" s="57" t="s">
        <v>405</v>
      </c>
      <c r="B48" s="21"/>
      <c r="C48" s="98" t="s">
        <v>289</v>
      </c>
      <c r="D48" s="94">
        <f>D49</f>
        <v>86546.3</v>
      </c>
      <c r="E48" s="94">
        <f>E49</f>
        <v>86324</v>
      </c>
      <c r="F48" s="94">
        <f>F49</f>
        <v>86324</v>
      </c>
      <c r="G48" s="103"/>
    </row>
    <row r="49" spans="1:7">
      <c r="A49" s="57" t="s">
        <v>405</v>
      </c>
      <c r="B49" s="21" t="s">
        <v>226</v>
      </c>
      <c r="C49" s="98" t="s">
        <v>225</v>
      </c>
      <c r="D49" s="94">
        <f>82839.4+3484.6-6.5+228.8</f>
        <v>86546.3</v>
      </c>
      <c r="E49" s="94">
        <f>82839.4+3484.6</f>
        <v>86324</v>
      </c>
      <c r="F49" s="94">
        <f>82839.4+3484.6</f>
        <v>86324</v>
      </c>
      <c r="G49" s="103"/>
    </row>
    <row r="50" spans="1:7" ht="49.5" customHeight="1">
      <c r="A50" s="57" t="s">
        <v>407</v>
      </c>
      <c r="B50" s="21"/>
      <c r="C50" s="98" t="s">
        <v>406</v>
      </c>
      <c r="D50" s="94">
        <f>D51</f>
        <v>15910.5</v>
      </c>
      <c r="E50" s="94">
        <f>E51</f>
        <v>15882.5</v>
      </c>
      <c r="F50" s="94">
        <f>F51</f>
        <v>15882.5</v>
      </c>
      <c r="G50" s="103"/>
    </row>
    <row r="51" spans="1:7">
      <c r="A51" s="21" t="s">
        <v>407</v>
      </c>
      <c r="B51" s="21" t="s">
        <v>226</v>
      </c>
      <c r="C51" s="98" t="s">
        <v>225</v>
      </c>
      <c r="D51" s="1">
        <f>15882.5+28</f>
        <v>15910.5</v>
      </c>
      <c r="E51" s="1">
        <v>15882.5</v>
      </c>
      <c r="F51" s="1">
        <v>15882.5</v>
      </c>
      <c r="G51" s="103"/>
    </row>
    <row r="52" spans="1:7" ht="51.75">
      <c r="A52" s="168" t="s">
        <v>771</v>
      </c>
      <c r="B52" s="21"/>
      <c r="C52" s="108" t="s">
        <v>772</v>
      </c>
      <c r="D52" s="39">
        <f>D53</f>
        <v>644.9</v>
      </c>
      <c r="E52" s="39">
        <f t="shared" ref="E52:F52" si="9">E53</f>
        <v>0</v>
      </c>
      <c r="F52" s="39">
        <f t="shared" si="9"/>
        <v>0</v>
      </c>
      <c r="G52" s="103"/>
    </row>
    <row r="53" spans="1:7" ht="15">
      <c r="A53" s="168" t="s">
        <v>771</v>
      </c>
      <c r="B53" s="21" t="s">
        <v>226</v>
      </c>
      <c r="C53" s="98" t="s">
        <v>225</v>
      </c>
      <c r="D53" s="1">
        <v>644.9</v>
      </c>
      <c r="E53" s="39">
        <v>0</v>
      </c>
      <c r="F53" s="39">
        <v>0</v>
      </c>
      <c r="G53" s="103"/>
    </row>
    <row r="54" spans="1:7" ht="52.5" customHeight="1">
      <c r="A54" s="168" t="s">
        <v>773</v>
      </c>
      <c r="B54" s="21"/>
      <c r="C54" s="108" t="s">
        <v>774</v>
      </c>
      <c r="D54" s="1">
        <f>D55</f>
        <v>6.5</v>
      </c>
      <c r="E54" s="1">
        <f t="shared" ref="E54:F54" si="10">E55</f>
        <v>0</v>
      </c>
      <c r="F54" s="1">
        <f t="shared" si="10"/>
        <v>0</v>
      </c>
      <c r="G54" s="103"/>
    </row>
    <row r="55" spans="1:7" ht="15">
      <c r="A55" s="168" t="s">
        <v>773</v>
      </c>
      <c r="B55" s="21" t="s">
        <v>226</v>
      </c>
      <c r="C55" s="98" t="s">
        <v>225</v>
      </c>
      <c r="D55" s="1">
        <v>6.5</v>
      </c>
      <c r="E55" s="39">
        <v>0</v>
      </c>
      <c r="F55" s="39">
        <v>0</v>
      </c>
      <c r="G55" s="103"/>
    </row>
    <row r="56" spans="1:7" ht="37.5" customHeight="1">
      <c r="A56" s="21" t="s">
        <v>409</v>
      </c>
      <c r="B56" s="82"/>
      <c r="C56" s="97" t="s">
        <v>408</v>
      </c>
      <c r="D56" s="94">
        <f>D57+D59+D61+D63</f>
        <v>793.6</v>
      </c>
      <c r="E56" s="94">
        <f t="shared" ref="E56:F56" si="11">E57+E59+E61+E63</f>
        <v>2451.6999999999998</v>
      </c>
      <c r="F56" s="94">
        <f t="shared" si="11"/>
        <v>1642.9</v>
      </c>
      <c r="G56" s="103"/>
    </row>
    <row r="57" spans="1:7" ht="51" customHeight="1">
      <c r="A57" s="57" t="s">
        <v>410</v>
      </c>
      <c r="B57" s="21"/>
      <c r="C57" s="98" t="s">
        <v>411</v>
      </c>
      <c r="D57" s="94">
        <f>D58</f>
        <v>193.6</v>
      </c>
      <c r="E57" s="94">
        <f>E58</f>
        <v>470</v>
      </c>
      <c r="F57" s="94">
        <f>F58</f>
        <v>0</v>
      </c>
      <c r="G57" s="103"/>
    </row>
    <row r="58" spans="1:7">
      <c r="A58" s="57" t="s">
        <v>410</v>
      </c>
      <c r="B58" s="21" t="s">
        <v>226</v>
      </c>
      <c r="C58" s="98" t="s">
        <v>225</v>
      </c>
      <c r="D58" s="94">
        <f>273-27.3-52.1</f>
        <v>193.6</v>
      </c>
      <c r="E58" s="94">
        <v>470</v>
      </c>
      <c r="F58" s="94">
        <v>0</v>
      </c>
      <c r="G58" s="103"/>
    </row>
    <row r="59" spans="1:7" ht="51.75" customHeight="1">
      <c r="A59" s="57" t="s">
        <v>412</v>
      </c>
      <c r="B59" s="57"/>
      <c r="C59" s="124" t="s">
        <v>413</v>
      </c>
      <c r="D59" s="94">
        <f>D60</f>
        <v>0</v>
      </c>
      <c r="E59" s="94">
        <f>E60</f>
        <v>1481.6999999999998</v>
      </c>
      <c r="F59" s="94">
        <f>F60</f>
        <v>1142.9000000000001</v>
      </c>
      <c r="G59" s="103"/>
    </row>
    <row r="60" spans="1:7">
      <c r="A60" s="57" t="s">
        <v>412</v>
      </c>
      <c r="B60" s="21" t="s">
        <v>226</v>
      </c>
      <c r="C60" s="98" t="s">
        <v>225</v>
      </c>
      <c r="D60" s="94">
        <v>0</v>
      </c>
      <c r="E60" s="94">
        <f>5245.5-3763.8</f>
        <v>1481.6999999999998</v>
      </c>
      <c r="F60" s="94">
        <v>1142.9000000000001</v>
      </c>
      <c r="G60" s="103"/>
    </row>
    <row r="61" spans="1:7" ht="42" customHeight="1">
      <c r="A61" s="57" t="s">
        <v>660</v>
      </c>
      <c r="B61" s="21"/>
      <c r="C61" s="98" t="s">
        <v>661</v>
      </c>
      <c r="D61" s="94">
        <f>D62</f>
        <v>500</v>
      </c>
      <c r="E61" s="94">
        <f t="shared" ref="E61:F61" si="12">E62</f>
        <v>500</v>
      </c>
      <c r="F61" s="94">
        <f t="shared" si="12"/>
        <v>500</v>
      </c>
      <c r="G61" s="103"/>
    </row>
    <row r="62" spans="1:7">
      <c r="A62" s="57" t="s">
        <v>660</v>
      </c>
      <c r="B62" s="21" t="s">
        <v>226</v>
      </c>
      <c r="C62" s="98" t="s">
        <v>225</v>
      </c>
      <c r="D62" s="94">
        <v>500</v>
      </c>
      <c r="E62" s="94">
        <v>500</v>
      </c>
      <c r="F62" s="94">
        <v>500</v>
      </c>
      <c r="G62" s="103"/>
    </row>
    <row r="63" spans="1:7" ht="38.25">
      <c r="A63" s="165" t="s">
        <v>745</v>
      </c>
      <c r="B63" s="21"/>
      <c r="C63" s="124" t="s">
        <v>746</v>
      </c>
      <c r="D63" s="94">
        <f>D64</f>
        <v>100</v>
      </c>
      <c r="E63" s="94">
        <f t="shared" ref="E63:F63" si="13">E64</f>
        <v>0</v>
      </c>
      <c r="F63" s="94">
        <f t="shared" si="13"/>
        <v>0</v>
      </c>
      <c r="G63" s="103"/>
    </row>
    <row r="64" spans="1:7">
      <c r="A64" s="165" t="s">
        <v>745</v>
      </c>
      <c r="B64" s="21" t="s">
        <v>226</v>
      </c>
      <c r="C64" s="98" t="s">
        <v>225</v>
      </c>
      <c r="D64" s="94">
        <v>100</v>
      </c>
      <c r="E64" s="94">
        <v>0</v>
      </c>
      <c r="F64" s="94">
        <v>0</v>
      </c>
      <c r="G64" s="103"/>
    </row>
    <row r="65" spans="1:13" ht="50.25" customHeight="1">
      <c r="A65" s="21" t="s">
        <v>414</v>
      </c>
      <c r="B65" s="21"/>
      <c r="C65" s="97" t="s">
        <v>416</v>
      </c>
      <c r="D65" s="94">
        <f>D66+D68+D70</f>
        <v>22971.5</v>
      </c>
      <c r="E65" s="94">
        <f>E66+E68+E70</f>
        <v>26738.799999999996</v>
      </c>
      <c r="F65" s="94">
        <f>F66+F68+F70</f>
        <v>22800</v>
      </c>
      <c r="G65" s="103"/>
    </row>
    <row r="66" spans="1:13" ht="35.25" customHeight="1">
      <c r="A66" s="57" t="s">
        <v>415</v>
      </c>
      <c r="B66" s="21"/>
      <c r="C66" s="98" t="s">
        <v>311</v>
      </c>
      <c r="D66" s="94">
        <f>D67</f>
        <v>5249.9</v>
      </c>
      <c r="E66" s="94">
        <f>E67</f>
        <v>5249.9</v>
      </c>
      <c r="F66" s="94">
        <f>F67</f>
        <v>5249.9</v>
      </c>
      <c r="G66" s="103"/>
    </row>
    <row r="67" spans="1:13">
      <c r="A67" s="57" t="s">
        <v>415</v>
      </c>
      <c r="B67" s="21" t="s">
        <v>226</v>
      </c>
      <c r="C67" s="98" t="s">
        <v>225</v>
      </c>
      <c r="D67" s="39">
        <v>5249.9</v>
      </c>
      <c r="E67" s="39">
        <v>5249.9</v>
      </c>
      <c r="F67" s="39">
        <v>5249.9</v>
      </c>
      <c r="G67" s="103"/>
    </row>
    <row r="68" spans="1:13" ht="65.25" customHeight="1">
      <c r="A68" s="21" t="s">
        <v>417</v>
      </c>
      <c r="B68" s="21"/>
      <c r="C68" s="98" t="s">
        <v>136</v>
      </c>
      <c r="D68" s="94">
        <f>D69</f>
        <v>17550.099999999999</v>
      </c>
      <c r="E68" s="94">
        <f>E69</f>
        <v>21313.899999999998</v>
      </c>
      <c r="F68" s="94">
        <f>F69</f>
        <v>17550.099999999999</v>
      </c>
      <c r="G68" s="103"/>
    </row>
    <row r="69" spans="1:13">
      <c r="A69" s="21" t="s">
        <v>417</v>
      </c>
      <c r="B69" s="21" t="s">
        <v>226</v>
      </c>
      <c r="C69" s="98" t="s">
        <v>225</v>
      </c>
      <c r="D69" s="94">
        <v>17550.099999999999</v>
      </c>
      <c r="E69" s="94">
        <f>17550.1+3763.8</f>
        <v>21313.899999999998</v>
      </c>
      <c r="F69" s="94">
        <v>17550.099999999999</v>
      </c>
      <c r="G69" s="103"/>
    </row>
    <row r="70" spans="1:13" ht="52.5" customHeight="1">
      <c r="A70" s="21" t="s">
        <v>418</v>
      </c>
      <c r="B70" s="21"/>
      <c r="C70" s="98" t="s">
        <v>608</v>
      </c>
      <c r="D70" s="94">
        <f>D71</f>
        <v>171.5</v>
      </c>
      <c r="E70" s="94">
        <f>E71</f>
        <v>175</v>
      </c>
      <c r="F70" s="94">
        <f>F71</f>
        <v>0</v>
      </c>
      <c r="G70" s="103"/>
    </row>
    <row r="71" spans="1:13">
      <c r="A71" s="21" t="s">
        <v>418</v>
      </c>
      <c r="B71" s="21" t="s">
        <v>226</v>
      </c>
      <c r="C71" s="98" t="s">
        <v>225</v>
      </c>
      <c r="D71" s="41">
        <f>175-3.5</f>
        <v>171.5</v>
      </c>
      <c r="E71" s="41">
        <v>175</v>
      </c>
      <c r="F71" s="41">
        <v>0</v>
      </c>
      <c r="G71" s="103"/>
    </row>
    <row r="72" spans="1:13" ht="51">
      <c r="A72" s="21" t="s">
        <v>419</v>
      </c>
      <c r="B72" s="21"/>
      <c r="C72" s="97" t="s">
        <v>420</v>
      </c>
      <c r="D72" s="41">
        <f>D73+D75+D78+D80+D83</f>
        <v>26968.5</v>
      </c>
      <c r="E72" s="41">
        <f>E73+E75+E78+E80+E83</f>
        <v>26333.5</v>
      </c>
      <c r="F72" s="41">
        <f>F73+F75+F78+F80</f>
        <v>21748.300000000003</v>
      </c>
      <c r="G72" s="103"/>
    </row>
    <row r="73" spans="1:13" ht="53.25" customHeight="1">
      <c r="A73" s="21" t="s">
        <v>735</v>
      </c>
      <c r="B73" s="82"/>
      <c r="C73" s="55" t="s">
        <v>381</v>
      </c>
      <c r="D73" s="41">
        <f>D74</f>
        <v>18640</v>
      </c>
      <c r="E73" s="41">
        <f>E74</f>
        <v>18640</v>
      </c>
      <c r="F73" s="41">
        <f>F74</f>
        <v>18022.900000000001</v>
      </c>
      <c r="G73" s="103"/>
    </row>
    <row r="74" spans="1:13">
      <c r="A74" s="21" t="s">
        <v>735</v>
      </c>
      <c r="B74" s="21" t="s">
        <v>226</v>
      </c>
      <c r="C74" s="98" t="s">
        <v>225</v>
      </c>
      <c r="D74" s="39">
        <v>18640</v>
      </c>
      <c r="E74" s="39">
        <v>18640</v>
      </c>
      <c r="F74" s="39">
        <v>18022.900000000001</v>
      </c>
      <c r="G74" s="103"/>
    </row>
    <row r="75" spans="1:13" ht="25.5" customHeight="1">
      <c r="A75" s="57" t="s">
        <v>593</v>
      </c>
      <c r="B75" s="21"/>
      <c r="C75" s="98" t="s">
        <v>135</v>
      </c>
      <c r="D75" s="41">
        <f>SUM(D76:D77)</f>
        <v>140.4</v>
      </c>
      <c r="E75" s="41">
        <f>SUM(E76:E77)</f>
        <v>183.4</v>
      </c>
      <c r="F75" s="41">
        <f>SUM(F76:F77)</f>
        <v>183.4</v>
      </c>
      <c r="G75" s="103"/>
    </row>
    <row r="76" spans="1:13" ht="26.25" customHeight="1">
      <c r="A76" s="57" t="s">
        <v>593</v>
      </c>
      <c r="B76" s="82" t="s">
        <v>65</v>
      </c>
      <c r="C76" s="55" t="s">
        <v>131</v>
      </c>
      <c r="D76" s="41">
        <f>88.5-40-26.8</f>
        <v>21.7</v>
      </c>
      <c r="E76" s="41">
        <v>88.5</v>
      </c>
      <c r="F76" s="41">
        <v>88.5</v>
      </c>
      <c r="G76" s="103"/>
    </row>
    <row r="77" spans="1:13" ht="38.25">
      <c r="A77" s="57" t="s">
        <v>593</v>
      </c>
      <c r="B77" s="82" t="s">
        <v>212</v>
      </c>
      <c r="C77" s="98" t="s">
        <v>213</v>
      </c>
      <c r="D77" s="41">
        <f>94.9-6.2+30</f>
        <v>118.7</v>
      </c>
      <c r="E77" s="41">
        <v>94.9</v>
      </c>
      <c r="F77" s="41">
        <v>94.9</v>
      </c>
      <c r="G77" s="103"/>
    </row>
    <row r="78" spans="1:13">
      <c r="A78" s="57" t="s">
        <v>421</v>
      </c>
      <c r="B78" s="21"/>
      <c r="C78" s="98" t="s">
        <v>46</v>
      </c>
      <c r="D78" s="41">
        <f>D79</f>
        <v>1506.9</v>
      </c>
      <c r="E78" s="41">
        <f>E79</f>
        <v>1200.2</v>
      </c>
      <c r="F78" s="41">
        <f>F79</f>
        <v>1200.2</v>
      </c>
      <c r="G78" s="103"/>
    </row>
    <row r="79" spans="1:13">
      <c r="A79" s="57" t="s">
        <v>421</v>
      </c>
      <c r="B79" s="21" t="s">
        <v>226</v>
      </c>
      <c r="C79" s="98" t="s">
        <v>225</v>
      </c>
      <c r="D79" s="41">
        <f>1200.2+306.7</f>
        <v>1506.9</v>
      </c>
      <c r="E79" s="41">
        <v>1200.2</v>
      </c>
      <c r="F79" s="41">
        <v>1200.2</v>
      </c>
      <c r="G79" s="103"/>
    </row>
    <row r="80" spans="1:13" ht="39" customHeight="1">
      <c r="A80" s="57" t="s">
        <v>423</v>
      </c>
      <c r="B80" s="21"/>
      <c r="C80" s="98" t="s">
        <v>422</v>
      </c>
      <c r="D80" s="41">
        <f>SUM(D81:D82)</f>
        <v>2341.8000000000002</v>
      </c>
      <c r="E80" s="41">
        <f>SUM(E81:E82)</f>
        <v>2341.8000000000002</v>
      </c>
      <c r="F80" s="41">
        <f>SUM(F81:F82)</f>
        <v>2341.8000000000002</v>
      </c>
      <c r="G80" s="103"/>
      <c r="J80" s="145"/>
      <c r="K80" s="146"/>
      <c r="L80" s="146"/>
      <c r="M80" s="145"/>
    </row>
    <row r="81" spans="1:7">
      <c r="A81" s="57" t="s">
        <v>423</v>
      </c>
      <c r="B81" s="21" t="s">
        <v>226</v>
      </c>
      <c r="C81" s="98" t="s">
        <v>225</v>
      </c>
      <c r="D81" s="39">
        <v>2141.8000000000002</v>
      </c>
      <c r="E81" s="39">
        <v>2141.8000000000002</v>
      </c>
      <c r="F81" s="39">
        <v>2141.8000000000002</v>
      </c>
      <c r="G81" s="103"/>
    </row>
    <row r="82" spans="1:7" ht="63.75">
      <c r="A82" s="57" t="s">
        <v>423</v>
      </c>
      <c r="B82" s="16" t="s">
        <v>12</v>
      </c>
      <c r="C82" s="98" t="s">
        <v>372</v>
      </c>
      <c r="D82" s="41">
        <v>200</v>
      </c>
      <c r="E82" s="41">
        <v>200</v>
      </c>
      <c r="F82" s="41">
        <v>200</v>
      </c>
      <c r="G82" s="103"/>
    </row>
    <row r="83" spans="1:7" ht="54" customHeight="1">
      <c r="A83" s="57" t="s">
        <v>588</v>
      </c>
      <c r="B83" s="16"/>
      <c r="C83" s="98" t="s">
        <v>589</v>
      </c>
      <c r="D83" s="41">
        <f>D84</f>
        <v>4339.3999999999996</v>
      </c>
      <c r="E83" s="41">
        <f t="shared" ref="E83:F83" si="14">E84</f>
        <v>3968.1</v>
      </c>
      <c r="F83" s="41">
        <f t="shared" si="14"/>
        <v>0</v>
      </c>
      <c r="G83" s="103"/>
    </row>
    <row r="84" spans="1:7">
      <c r="A84" s="57" t="s">
        <v>588</v>
      </c>
      <c r="B84" s="21" t="s">
        <v>226</v>
      </c>
      <c r="C84" s="98" t="s">
        <v>225</v>
      </c>
      <c r="D84" s="41">
        <f>3968.1+466.6-95.3</f>
        <v>4339.3999999999996</v>
      </c>
      <c r="E84" s="41">
        <v>3968.1</v>
      </c>
      <c r="F84" s="41">
        <v>0</v>
      </c>
      <c r="G84" s="103"/>
    </row>
    <row r="85" spans="1:7" ht="38.25">
      <c r="A85" s="57" t="s">
        <v>662</v>
      </c>
      <c r="B85" s="21"/>
      <c r="C85" s="150" t="s">
        <v>663</v>
      </c>
      <c r="D85" s="41">
        <f>D86+D88</f>
        <v>639.29999999999995</v>
      </c>
      <c r="E85" s="41">
        <f t="shared" ref="E85:F85" si="15">E86+E88</f>
        <v>250</v>
      </c>
      <c r="F85" s="41">
        <f t="shared" si="15"/>
        <v>0</v>
      </c>
      <c r="G85" s="103"/>
    </row>
    <row r="86" spans="1:7" ht="63.75">
      <c r="A86" s="57" t="s">
        <v>734</v>
      </c>
      <c r="B86" s="21"/>
      <c r="C86" s="97" t="s">
        <v>733</v>
      </c>
      <c r="D86" s="41">
        <f>D87</f>
        <v>250</v>
      </c>
      <c r="E86" s="41">
        <f t="shared" ref="E86:F86" si="16">E87</f>
        <v>250</v>
      </c>
      <c r="F86" s="41">
        <f t="shared" si="16"/>
        <v>0</v>
      </c>
      <c r="G86" s="103"/>
    </row>
    <row r="87" spans="1:7">
      <c r="A87" s="57" t="s">
        <v>734</v>
      </c>
      <c r="B87" s="21" t="s">
        <v>226</v>
      </c>
      <c r="C87" s="98" t="s">
        <v>225</v>
      </c>
      <c r="D87" s="41">
        <v>250</v>
      </c>
      <c r="E87" s="41">
        <v>250</v>
      </c>
      <c r="F87" s="41">
        <v>0</v>
      </c>
      <c r="G87" s="103"/>
    </row>
    <row r="88" spans="1:7" ht="51">
      <c r="A88" s="57" t="s">
        <v>741</v>
      </c>
      <c r="B88" s="21"/>
      <c r="C88" s="97" t="s">
        <v>742</v>
      </c>
      <c r="D88" s="41">
        <f>D89</f>
        <v>389.3</v>
      </c>
      <c r="E88" s="41">
        <f t="shared" ref="E88:F88" si="17">E89</f>
        <v>0</v>
      </c>
      <c r="F88" s="41">
        <f t="shared" si="17"/>
        <v>0</v>
      </c>
      <c r="G88" s="103"/>
    </row>
    <row r="89" spans="1:7">
      <c r="A89" s="57" t="s">
        <v>741</v>
      </c>
      <c r="B89" s="21" t="s">
        <v>226</v>
      </c>
      <c r="C89" s="98" t="s">
        <v>225</v>
      </c>
      <c r="D89" s="41">
        <v>389.3</v>
      </c>
      <c r="E89" s="41">
        <v>0</v>
      </c>
      <c r="F89" s="41">
        <v>0</v>
      </c>
      <c r="G89" s="103"/>
    </row>
    <row r="90" spans="1:7" ht="51">
      <c r="A90" s="57" t="s">
        <v>762</v>
      </c>
      <c r="B90" s="21"/>
      <c r="C90" s="98" t="s">
        <v>763</v>
      </c>
      <c r="D90" s="41">
        <f>D91</f>
        <v>685.4</v>
      </c>
      <c r="E90" s="41">
        <f t="shared" ref="E90:F91" si="18">E91</f>
        <v>2567.6</v>
      </c>
      <c r="F90" s="41">
        <f t="shared" si="18"/>
        <v>2567.6</v>
      </c>
      <c r="G90" s="103"/>
    </row>
    <row r="91" spans="1:7" ht="63.75">
      <c r="A91" s="57" t="s">
        <v>760</v>
      </c>
      <c r="B91" s="21"/>
      <c r="C91" s="98" t="s">
        <v>761</v>
      </c>
      <c r="D91" s="1">
        <f>D92</f>
        <v>685.4</v>
      </c>
      <c r="E91" s="1">
        <f t="shared" si="18"/>
        <v>2567.6</v>
      </c>
      <c r="F91" s="1">
        <f t="shared" si="18"/>
        <v>2567.6</v>
      </c>
      <c r="G91" s="103"/>
    </row>
    <row r="92" spans="1:7">
      <c r="A92" s="57" t="s">
        <v>760</v>
      </c>
      <c r="B92" s="21" t="s">
        <v>226</v>
      </c>
      <c r="C92" s="98" t="s">
        <v>225</v>
      </c>
      <c r="D92" s="1">
        <v>685.4</v>
      </c>
      <c r="E92" s="1">
        <v>2567.6</v>
      </c>
      <c r="F92" s="1">
        <v>2567.6</v>
      </c>
      <c r="G92" s="103"/>
    </row>
    <row r="93" spans="1:7" ht="38.25">
      <c r="A93" s="52" t="s">
        <v>424</v>
      </c>
      <c r="B93" s="35"/>
      <c r="C93" s="46" t="s">
        <v>425</v>
      </c>
      <c r="D93" s="94">
        <f>D94+D107</f>
        <v>49408.6</v>
      </c>
      <c r="E93" s="94">
        <f>E94+E107</f>
        <v>46623.200000000004</v>
      </c>
      <c r="F93" s="94">
        <f>F94+F107</f>
        <v>46468.700000000004</v>
      </c>
      <c r="G93" s="103"/>
    </row>
    <row r="94" spans="1:7" ht="51">
      <c r="A94" s="21" t="s">
        <v>429</v>
      </c>
      <c r="B94" s="21"/>
      <c r="C94" s="97" t="s">
        <v>426</v>
      </c>
      <c r="D94" s="41">
        <f>D95+D97+D99+D101+D103+D105</f>
        <v>48213.599999999999</v>
      </c>
      <c r="E94" s="41">
        <f>E95+E97+E99+E101+E103+E105</f>
        <v>45428.200000000004</v>
      </c>
      <c r="F94" s="41">
        <f>F95+F97+F99+F101+F103+F105</f>
        <v>45428.200000000004</v>
      </c>
      <c r="G94" s="103"/>
    </row>
    <row r="95" spans="1:7" ht="63" customHeight="1">
      <c r="A95" s="57" t="s">
        <v>428</v>
      </c>
      <c r="B95" s="16"/>
      <c r="C95" s="98" t="s">
        <v>427</v>
      </c>
      <c r="D95" s="94">
        <f>D96</f>
        <v>30540.799999999999</v>
      </c>
      <c r="E95" s="94">
        <f>SUM(E96:E98)</f>
        <v>36073.800000000003</v>
      </c>
      <c r="F95" s="94">
        <f>SUM(F96:F98)</f>
        <v>36073.800000000003</v>
      </c>
      <c r="G95" s="103"/>
    </row>
    <row r="96" spans="1:7">
      <c r="A96" s="57" t="s">
        <v>428</v>
      </c>
      <c r="B96" s="21" t="s">
        <v>226</v>
      </c>
      <c r="C96" s="98" t="s">
        <v>225</v>
      </c>
      <c r="D96" s="94">
        <f>35352.5+721.3-11440.4+4500-22.4-2.4+1432.2</f>
        <v>30540.799999999999</v>
      </c>
      <c r="E96" s="94">
        <f>35352.5+721.3</f>
        <v>36073.800000000003</v>
      </c>
      <c r="F96" s="94">
        <f>35352.5+721.3</f>
        <v>36073.800000000003</v>
      </c>
      <c r="G96" s="103"/>
    </row>
    <row r="97" spans="1:7" ht="38.25">
      <c r="A97" s="57" t="s">
        <v>721</v>
      </c>
      <c r="B97" s="21"/>
      <c r="C97" s="98" t="s">
        <v>722</v>
      </c>
      <c r="D97" s="94">
        <f>SUM(D98:D98)</f>
        <v>5837.9000000000015</v>
      </c>
      <c r="E97" s="94">
        <f>SUM(E98:E98)</f>
        <v>0</v>
      </c>
      <c r="F97" s="94">
        <f>SUM(F98:F98)</f>
        <v>0</v>
      </c>
      <c r="G97" s="103"/>
    </row>
    <row r="98" spans="1:7">
      <c r="A98" s="57" t="s">
        <v>721</v>
      </c>
      <c r="B98" s="21" t="s">
        <v>226</v>
      </c>
      <c r="C98" s="98" t="s">
        <v>225</v>
      </c>
      <c r="D98" s="94">
        <f>329.7+10817.4+155.7-4500-964.9</f>
        <v>5837.9000000000015</v>
      </c>
      <c r="E98" s="94">
        <v>0</v>
      </c>
      <c r="F98" s="94">
        <v>0</v>
      </c>
      <c r="G98" s="103"/>
    </row>
    <row r="99" spans="1:7" ht="67.5" customHeight="1">
      <c r="A99" s="57" t="s">
        <v>430</v>
      </c>
      <c r="B99" s="21"/>
      <c r="C99" s="98" t="s">
        <v>431</v>
      </c>
      <c r="D99" s="94">
        <f>D100</f>
        <v>11479.3</v>
      </c>
      <c r="E99" s="94">
        <f>E100</f>
        <v>9260.7999999999993</v>
      </c>
      <c r="F99" s="94">
        <f>F100</f>
        <v>9260.7999999999993</v>
      </c>
      <c r="G99" s="103"/>
    </row>
    <row r="100" spans="1:7">
      <c r="A100" s="57" t="s">
        <v>430</v>
      </c>
      <c r="B100" s="21" t="s">
        <v>226</v>
      </c>
      <c r="C100" s="98" t="s">
        <v>225</v>
      </c>
      <c r="D100" s="133">
        <f>9259.8+1+2218.5</f>
        <v>11479.3</v>
      </c>
      <c r="E100" s="133">
        <f t="shared" ref="E100:F100" si="19">9259.8+1</f>
        <v>9260.7999999999993</v>
      </c>
      <c r="F100" s="133">
        <f t="shared" si="19"/>
        <v>9260.7999999999993</v>
      </c>
      <c r="G100" s="103"/>
    </row>
    <row r="101" spans="1:7" ht="66" customHeight="1">
      <c r="A101" s="57" t="s">
        <v>432</v>
      </c>
      <c r="B101" s="57"/>
      <c r="C101" s="98" t="s">
        <v>433</v>
      </c>
      <c r="D101" s="39">
        <f>D102</f>
        <v>116</v>
      </c>
      <c r="E101" s="39">
        <f>E102</f>
        <v>93.6</v>
      </c>
      <c r="F101" s="39">
        <f>F102</f>
        <v>93.6</v>
      </c>
      <c r="G101" s="103"/>
    </row>
    <row r="102" spans="1:7">
      <c r="A102" s="21" t="s">
        <v>432</v>
      </c>
      <c r="B102" s="21" t="s">
        <v>226</v>
      </c>
      <c r="C102" s="98" t="s">
        <v>225</v>
      </c>
      <c r="D102" s="41">
        <f>93.6+22.4</f>
        <v>116</v>
      </c>
      <c r="E102" s="41">
        <v>93.6</v>
      </c>
      <c r="F102" s="41">
        <v>93.6</v>
      </c>
      <c r="G102" s="103"/>
    </row>
    <row r="103" spans="1:7" ht="51">
      <c r="A103" s="21" t="s">
        <v>775</v>
      </c>
      <c r="B103" s="21"/>
      <c r="C103" s="108" t="s">
        <v>776</v>
      </c>
      <c r="D103" s="41">
        <f>D104</f>
        <v>237.2</v>
      </c>
      <c r="E103" s="41">
        <f t="shared" ref="E103:F103" si="20">E104</f>
        <v>0</v>
      </c>
      <c r="F103" s="41">
        <f t="shared" si="20"/>
        <v>0</v>
      </c>
      <c r="G103" s="103"/>
    </row>
    <row r="104" spans="1:7">
      <c r="A104" s="21" t="s">
        <v>775</v>
      </c>
      <c r="B104" s="21" t="s">
        <v>226</v>
      </c>
      <c r="C104" s="98" t="s">
        <v>225</v>
      </c>
      <c r="D104" s="41">
        <v>237.2</v>
      </c>
      <c r="E104" s="41">
        <v>0</v>
      </c>
      <c r="F104" s="41">
        <v>0</v>
      </c>
      <c r="G104" s="103"/>
    </row>
    <row r="105" spans="1:7" ht="63.75">
      <c r="A105" s="21" t="s">
        <v>777</v>
      </c>
      <c r="B105" s="21"/>
      <c r="C105" s="108" t="s">
        <v>778</v>
      </c>
      <c r="D105" s="41">
        <f>D106</f>
        <v>2.4</v>
      </c>
      <c r="E105" s="41">
        <f t="shared" ref="E105:F105" si="21">E106</f>
        <v>0</v>
      </c>
      <c r="F105" s="41">
        <f t="shared" si="21"/>
        <v>0</v>
      </c>
      <c r="G105" s="103"/>
    </row>
    <row r="106" spans="1:7">
      <c r="A106" s="21" t="s">
        <v>777</v>
      </c>
      <c r="B106" s="21" t="s">
        <v>226</v>
      </c>
      <c r="C106" s="98" t="s">
        <v>225</v>
      </c>
      <c r="D106" s="41">
        <v>2.4</v>
      </c>
      <c r="E106" s="41">
        <v>0</v>
      </c>
      <c r="F106" s="41">
        <v>0</v>
      </c>
      <c r="G106" s="103"/>
    </row>
    <row r="107" spans="1:7" ht="25.5" customHeight="1">
      <c r="A107" s="21" t="s">
        <v>435</v>
      </c>
      <c r="B107" s="82"/>
      <c r="C107" s="97" t="s">
        <v>434</v>
      </c>
      <c r="D107" s="41">
        <f>D108+D110+D112</f>
        <v>1195</v>
      </c>
      <c r="E107" s="41">
        <f t="shared" ref="E107:F107" si="22">E108+E110+E112</f>
        <v>1195</v>
      </c>
      <c r="F107" s="41">
        <f t="shared" si="22"/>
        <v>1040.5</v>
      </c>
      <c r="G107" s="103"/>
    </row>
    <row r="108" spans="1:7" ht="52.5" customHeight="1">
      <c r="A108" s="57" t="s">
        <v>596</v>
      </c>
      <c r="B108" s="21"/>
      <c r="C108" s="108" t="s">
        <v>436</v>
      </c>
      <c r="D108" s="94">
        <f>D109</f>
        <v>795</v>
      </c>
      <c r="E108" s="94">
        <f t="shared" ref="E108:F108" si="23">E109</f>
        <v>795</v>
      </c>
      <c r="F108" s="94">
        <f t="shared" si="23"/>
        <v>790.5</v>
      </c>
      <c r="G108" s="103"/>
    </row>
    <row r="109" spans="1:7">
      <c r="A109" s="57" t="s">
        <v>596</v>
      </c>
      <c r="B109" s="21" t="s">
        <v>226</v>
      </c>
      <c r="C109" s="98" t="s">
        <v>225</v>
      </c>
      <c r="D109" s="94">
        <v>795</v>
      </c>
      <c r="E109" s="94">
        <v>795</v>
      </c>
      <c r="F109" s="94">
        <f>695.5+25+70.2-0.2</f>
        <v>790.5</v>
      </c>
      <c r="G109" s="103"/>
    </row>
    <row r="110" spans="1:7" ht="25.5" customHeight="1">
      <c r="A110" s="57" t="s">
        <v>437</v>
      </c>
      <c r="B110" s="21"/>
      <c r="C110" s="98" t="s">
        <v>184</v>
      </c>
      <c r="D110" s="41">
        <f>D111</f>
        <v>250</v>
      </c>
      <c r="E110" s="41">
        <f t="shared" ref="E110:F110" si="24">E111</f>
        <v>250</v>
      </c>
      <c r="F110" s="41">
        <f t="shared" si="24"/>
        <v>250</v>
      </c>
      <c r="G110" s="103"/>
    </row>
    <row r="111" spans="1:7">
      <c r="A111" s="57" t="s">
        <v>437</v>
      </c>
      <c r="B111" s="21" t="s">
        <v>226</v>
      </c>
      <c r="C111" s="98" t="s">
        <v>225</v>
      </c>
      <c r="D111" s="41">
        <v>250</v>
      </c>
      <c r="E111" s="41">
        <v>250</v>
      </c>
      <c r="F111" s="41">
        <v>250</v>
      </c>
      <c r="G111" s="103"/>
    </row>
    <row r="112" spans="1:7" ht="27" customHeight="1">
      <c r="A112" s="57" t="s">
        <v>438</v>
      </c>
      <c r="B112" s="21"/>
      <c r="C112" s="98" t="s">
        <v>439</v>
      </c>
      <c r="D112" s="41">
        <f>D113</f>
        <v>150</v>
      </c>
      <c r="E112" s="41">
        <f t="shared" ref="E112:F112" si="25">E113</f>
        <v>150</v>
      </c>
      <c r="F112" s="41">
        <f t="shared" si="25"/>
        <v>0</v>
      </c>
      <c r="G112" s="103"/>
    </row>
    <row r="113" spans="1:7">
      <c r="A113" s="57" t="s">
        <v>438</v>
      </c>
      <c r="B113" s="21" t="s">
        <v>226</v>
      </c>
      <c r="C113" s="98" t="s">
        <v>225</v>
      </c>
      <c r="D113" s="41">
        <v>150</v>
      </c>
      <c r="E113" s="41">
        <v>150</v>
      </c>
      <c r="F113" s="41">
        <v>0</v>
      </c>
      <c r="G113" s="103"/>
    </row>
    <row r="114" spans="1:7" ht="26.25" customHeight="1">
      <c r="A114" s="52" t="s">
        <v>441</v>
      </c>
      <c r="B114" s="82"/>
      <c r="C114" s="46" t="s">
        <v>440</v>
      </c>
      <c r="D114" s="41">
        <f>D115+D122+D129+D139</f>
        <v>2721.1000000000004</v>
      </c>
      <c r="E114" s="41">
        <f t="shared" ref="E114:F114" si="26">E115+E122+E129+E139</f>
        <v>2648.2</v>
      </c>
      <c r="F114" s="41">
        <f t="shared" si="26"/>
        <v>2598.1999999999998</v>
      </c>
      <c r="G114" s="103"/>
    </row>
    <row r="115" spans="1:7" ht="26.25" customHeight="1">
      <c r="A115" s="21" t="s">
        <v>442</v>
      </c>
      <c r="B115" s="21"/>
      <c r="C115" s="97" t="s">
        <v>484</v>
      </c>
      <c r="D115" s="41">
        <f>D116+D118+D120</f>
        <v>285.10000000000002</v>
      </c>
      <c r="E115" s="41">
        <f>E116+E118+E120</f>
        <v>308.20000000000005</v>
      </c>
      <c r="F115" s="41">
        <f>F116+F118+F120</f>
        <v>258.20000000000005</v>
      </c>
      <c r="G115" s="103"/>
    </row>
    <row r="116" spans="1:7" ht="38.25">
      <c r="A116" s="21" t="s">
        <v>594</v>
      </c>
      <c r="B116" s="16"/>
      <c r="C116" s="97" t="s">
        <v>443</v>
      </c>
      <c r="D116" s="39">
        <f>D117</f>
        <v>105.00000000000001</v>
      </c>
      <c r="E116" s="39">
        <f>E117</f>
        <v>134.30000000000001</v>
      </c>
      <c r="F116" s="39">
        <f>F117</f>
        <v>134.30000000000001</v>
      </c>
      <c r="G116" s="103"/>
    </row>
    <row r="117" spans="1:7">
      <c r="A117" s="21" t="s">
        <v>594</v>
      </c>
      <c r="B117" s="82" t="s">
        <v>362</v>
      </c>
      <c r="C117" s="98" t="s">
        <v>363</v>
      </c>
      <c r="D117" s="41">
        <f>134.3-29.3</f>
        <v>105.00000000000001</v>
      </c>
      <c r="E117" s="41">
        <v>134.30000000000001</v>
      </c>
      <c r="F117" s="41">
        <v>134.30000000000001</v>
      </c>
      <c r="G117" s="103"/>
    </row>
    <row r="118" spans="1:7" ht="39.75" customHeight="1">
      <c r="A118" s="57" t="s">
        <v>595</v>
      </c>
      <c r="B118" s="16"/>
      <c r="C118" s="98" t="s">
        <v>50</v>
      </c>
      <c r="D118" s="41">
        <f>D119</f>
        <v>130.1</v>
      </c>
      <c r="E118" s="41">
        <f>E119</f>
        <v>123.9</v>
      </c>
      <c r="F118" s="41">
        <f>F119</f>
        <v>123.9</v>
      </c>
      <c r="G118" s="103"/>
    </row>
    <row r="119" spans="1:7" ht="38.25">
      <c r="A119" s="57" t="s">
        <v>595</v>
      </c>
      <c r="B119" s="82" t="s">
        <v>212</v>
      </c>
      <c r="C119" s="98" t="s">
        <v>213</v>
      </c>
      <c r="D119" s="41">
        <f>123.9+6.2</f>
        <v>130.1</v>
      </c>
      <c r="E119" s="41">
        <v>123.9</v>
      </c>
      <c r="F119" s="41">
        <v>123.9</v>
      </c>
      <c r="G119" s="103"/>
    </row>
    <row r="120" spans="1:7" ht="66" customHeight="1">
      <c r="A120" s="57" t="s">
        <v>590</v>
      </c>
      <c r="B120" s="16"/>
      <c r="C120" s="98" t="s">
        <v>444</v>
      </c>
      <c r="D120" s="41">
        <f>D121</f>
        <v>50</v>
      </c>
      <c r="E120" s="41">
        <f>E121</f>
        <v>50</v>
      </c>
      <c r="F120" s="41">
        <f>F121</f>
        <v>0</v>
      </c>
      <c r="G120" s="103"/>
    </row>
    <row r="121" spans="1:7">
      <c r="A121" s="57" t="s">
        <v>590</v>
      </c>
      <c r="B121" s="21" t="s">
        <v>226</v>
      </c>
      <c r="C121" s="98" t="s">
        <v>225</v>
      </c>
      <c r="D121" s="41">
        <v>50</v>
      </c>
      <c r="E121" s="41">
        <v>50</v>
      </c>
      <c r="F121" s="41">
        <v>0</v>
      </c>
      <c r="G121" s="103"/>
    </row>
    <row r="122" spans="1:7" ht="38.25">
      <c r="A122" s="21" t="s">
        <v>445</v>
      </c>
      <c r="B122" s="21"/>
      <c r="C122" s="97" t="s">
        <v>446</v>
      </c>
      <c r="D122" s="39">
        <f>D123+D125+D127</f>
        <v>1398.7</v>
      </c>
      <c r="E122" s="39">
        <f>E123+E125+E127</f>
        <v>1473.1</v>
      </c>
      <c r="F122" s="39">
        <f>F123+F125+F127</f>
        <v>1473.1</v>
      </c>
      <c r="G122" s="103"/>
    </row>
    <row r="123" spans="1:7" ht="42.75" customHeight="1">
      <c r="A123" s="57" t="s">
        <v>591</v>
      </c>
      <c r="B123" s="16"/>
      <c r="C123" s="98" t="s">
        <v>45</v>
      </c>
      <c r="D123" s="41">
        <f>D124</f>
        <v>209.2</v>
      </c>
      <c r="E123" s="41">
        <f>E124</f>
        <v>250</v>
      </c>
      <c r="F123" s="41">
        <f>F124</f>
        <v>250</v>
      </c>
      <c r="G123" s="103"/>
    </row>
    <row r="124" spans="1:7">
      <c r="A124" s="57" t="s">
        <v>591</v>
      </c>
      <c r="B124" s="21" t="s">
        <v>226</v>
      </c>
      <c r="C124" s="98" t="s">
        <v>225</v>
      </c>
      <c r="D124" s="94">
        <f>250-40.8</f>
        <v>209.2</v>
      </c>
      <c r="E124" s="94">
        <v>250</v>
      </c>
      <c r="F124" s="94">
        <v>250</v>
      </c>
      <c r="G124" s="103"/>
    </row>
    <row r="125" spans="1:7" ht="42" customHeight="1">
      <c r="A125" s="57" t="s">
        <v>592</v>
      </c>
      <c r="B125" s="16"/>
      <c r="C125" s="54" t="s">
        <v>532</v>
      </c>
      <c r="D125" s="94">
        <f>D126</f>
        <v>37.499999999999993</v>
      </c>
      <c r="E125" s="94">
        <f>E126</f>
        <v>71.099999999999994</v>
      </c>
      <c r="F125" s="94">
        <f>F126</f>
        <v>71.099999999999994</v>
      </c>
      <c r="G125" s="103"/>
    </row>
    <row r="126" spans="1:7">
      <c r="A126" s="57" t="s">
        <v>592</v>
      </c>
      <c r="B126" s="21" t="s">
        <v>226</v>
      </c>
      <c r="C126" s="98" t="s">
        <v>225</v>
      </c>
      <c r="D126" s="94">
        <f>71.1-15.1-18.5</f>
        <v>37.499999999999993</v>
      </c>
      <c r="E126" s="94">
        <v>71.099999999999994</v>
      </c>
      <c r="F126" s="94">
        <v>71.099999999999994</v>
      </c>
      <c r="G126" s="103"/>
    </row>
    <row r="127" spans="1:7" ht="91.5" customHeight="1">
      <c r="A127" s="80">
        <v>140210560</v>
      </c>
      <c r="B127" s="82"/>
      <c r="C127" s="98" t="s">
        <v>183</v>
      </c>
      <c r="D127" s="41">
        <f>D128</f>
        <v>1152</v>
      </c>
      <c r="E127" s="41">
        <f>E128</f>
        <v>1152</v>
      </c>
      <c r="F127" s="41">
        <f>F128</f>
        <v>1152</v>
      </c>
      <c r="G127" s="103"/>
    </row>
    <row r="128" spans="1:7" ht="25.5">
      <c r="A128" s="80">
        <v>140210560</v>
      </c>
      <c r="B128" s="82" t="s">
        <v>282</v>
      </c>
      <c r="C128" s="98" t="s">
        <v>283</v>
      </c>
      <c r="D128" s="39">
        <v>1152</v>
      </c>
      <c r="E128" s="39">
        <v>1152</v>
      </c>
      <c r="F128" s="39">
        <v>1152</v>
      </c>
      <c r="G128" s="103"/>
    </row>
    <row r="129" spans="1:7" ht="38.25">
      <c r="A129" s="21" t="s">
        <v>447</v>
      </c>
      <c r="B129" s="21"/>
      <c r="C129" s="97" t="s">
        <v>448</v>
      </c>
      <c r="D129" s="41">
        <f>D130+D132+D135+D137</f>
        <v>910.5</v>
      </c>
      <c r="E129" s="41">
        <f>E130+E132+E135+E137</f>
        <v>866.90000000000009</v>
      </c>
      <c r="F129" s="41">
        <f>F130+F132+F135+F137</f>
        <v>866.90000000000009</v>
      </c>
      <c r="G129" s="103"/>
    </row>
    <row r="130" spans="1:7" ht="63" customHeight="1">
      <c r="A130" s="80">
        <v>140323020</v>
      </c>
      <c r="B130" s="82"/>
      <c r="C130" s="98" t="s">
        <v>134</v>
      </c>
      <c r="D130" s="41">
        <f>D131</f>
        <v>330.20000000000005</v>
      </c>
      <c r="E130" s="41">
        <f>E131</f>
        <v>296.60000000000002</v>
      </c>
      <c r="F130" s="41">
        <f>F131</f>
        <v>296.60000000000002</v>
      </c>
      <c r="G130" s="103"/>
    </row>
    <row r="131" spans="1:7" ht="38.25">
      <c r="A131" s="80">
        <v>140323020</v>
      </c>
      <c r="B131" s="82" t="s">
        <v>212</v>
      </c>
      <c r="C131" s="98" t="s">
        <v>213</v>
      </c>
      <c r="D131" s="41">
        <f>112+140.5+44.1+15.1+18.5</f>
        <v>330.20000000000005</v>
      </c>
      <c r="E131" s="41">
        <f t="shared" ref="E131:F131" si="27">112+140.5+44.1</f>
        <v>296.60000000000002</v>
      </c>
      <c r="F131" s="41">
        <f t="shared" si="27"/>
        <v>296.60000000000002</v>
      </c>
      <c r="G131" s="103"/>
    </row>
    <row r="132" spans="1:7" ht="68.25" customHeight="1">
      <c r="A132" s="80">
        <v>140323025</v>
      </c>
      <c r="B132" s="82"/>
      <c r="C132" s="98" t="s">
        <v>449</v>
      </c>
      <c r="D132" s="41">
        <f>SUM(D133:D134)</f>
        <v>332.3</v>
      </c>
      <c r="E132" s="41">
        <f t="shared" ref="E132:F132" si="28">SUM(E133:E134)</f>
        <v>322.3</v>
      </c>
      <c r="F132" s="41">
        <f t="shared" si="28"/>
        <v>322.3</v>
      </c>
      <c r="G132" s="103"/>
    </row>
    <row r="133" spans="1:7" ht="42" customHeight="1">
      <c r="A133" s="80">
        <v>140323025</v>
      </c>
      <c r="B133" s="82" t="s">
        <v>212</v>
      </c>
      <c r="C133" s="98" t="s">
        <v>213</v>
      </c>
      <c r="D133" s="41">
        <f>322.3-35-5+10</f>
        <v>292.3</v>
      </c>
      <c r="E133" s="41">
        <f t="shared" ref="E133:F133" si="29">322.3-35</f>
        <v>287.3</v>
      </c>
      <c r="F133" s="41">
        <f t="shared" si="29"/>
        <v>287.3</v>
      </c>
      <c r="G133" s="103"/>
    </row>
    <row r="134" spans="1:7">
      <c r="A134" s="80">
        <v>140323025</v>
      </c>
      <c r="B134" s="82" t="s">
        <v>699</v>
      </c>
      <c r="C134" s="98" t="s">
        <v>700</v>
      </c>
      <c r="D134" s="41">
        <f>35+5</f>
        <v>40</v>
      </c>
      <c r="E134" s="41">
        <v>35</v>
      </c>
      <c r="F134" s="41">
        <v>35</v>
      </c>
      <c r="G134" s="103"/>
    </row>
    <row r="135" spans="1:7" ht="54.75" customHeight="1">
      <c r="A135" s="80" t="s">
        <v>450</v>
      </c>
      <c r="B135" s="82"/>
      <c r="C135" s="98" t="s">
        <v>451</v>
      </c>
      <c r="D135" s="41">
        <f>D136</f>
        <v>45.9</v>
      </c>
      <c r="E135" s="41">
        <f>E136</f>
        <v>45.9</v>
      </c>
      <c r="F135" s="41">
        <f>F136</f>
        <v>45.9</v>
      </c>
      <c r="G135" s="103"/>
    </row>
    <row r="136" spans="1:7" ht="38.25">
      <c r="A136" s="80" t="s">
        <v>450</v>
      </c>
      <c r="B136" s="82" t="s">
        <v>212</v>
      </c>
      <c r="C136" s="98" t="s">
        <v>213</v>
      </c>
      <c r="D136" s="41">
        <f>90-44.1</f>
        <v>45.9</v>
      </c>
      <c r="E136" s="41">
        <f t="shared" ref="E136:F136" si="30">90-44.1</f>
        <v>45.9</v>
      </c>
      <c r="F136" s="41">
        <f t="shared" si="30"/>
        <v>45.9</v>
      </c>
      <c r="G136" s="103"/>
    </row>
    <row r="137" spans="1:7" ht="26.25" customHeight="1">
      <c r="A137" s="80">
        <v>140311080</v>
      </c>
      <c r="B137" s="82"/>
      <c r="C137" s="98" t="s">
        <v>452</v>
      </c>
      <c r="D137" s="41">
        <f>D138</f>
        <v>202.1</v>
      </c>
      <c r="E137" s="41">
        <f>E138</f>
        <v>202.1</v>
      </c>
      <c r="F137" s="41">
        <f>F138</f>
        <v>202.1</v>
      </c>
      <c r="G137" s="103"/>
    </row>
    <row r="138" spans="1:7" ht="38.25">
      <c r="A138" s="80">
        <v>140311080</v>
      </c>
      <c r="B138" s="82" t="s">
        <v>212</v>
      </c>
      <c r="C138" s="98" t="s">
        <v>213</v>
      </c>
      <c r="D138" s="39">
        <v>202.1</v>
      </c>
      <c r="E138" s="39">
        <v>202.1</v>
      </c>
      <c r="F138" s="39">
        <v>202.1</v>
      </c>
      <c r="G138" s="103"/>
    </row>
    <row r="139" spans="1:7" ht="25.5">
      <c r="A139" s="21" t="s">
        <v>749</v>
      </c>
      <c r="B139" s="82"/>
      <c r="C139" s="166" t="s">
        <v>750</v>
      </c>
      <c r="D139" s="39">
        <f>D140</f>
        <v>126.8</v>
      </c>
      <c r="E139" s="39">
        <f t="shared" ref="E139:F139" si="31">E140</f>
        <v>0</v>
      </c>
      <c r="F139" s="39">
        <f t="shared" si="31"/>
        <v>0</v>
      </c>
      <c r="G139" s="103"/>
    </row>
    <row r="140" spans="1:7" ht="51">
      <c r="A140" s="21" t="s">
        <v>747</v>
      </c>
      <c r="B140" s="82"/>
      <c r="C140" s="131" t="s">
        <v>748</v>
      </c>
      <c r="D140" s="39">
        <f>D141</f>
        <v>126.8</v>
      </c>
      <c r="E140" s="39">
        <v>0</v>
      </c>
      <c r="F140" s="39">
        <v>0</v>
      </c>
      <c r="G140" s="103"/>
    </row>
    <row r="141" spans="1:7" ht="38.25">
      <c r="A141" s="21" t="s">
        <v>747</v>
      </c>
      <c r="B141" s="82" t="s">
        <v>212</v>
      </c>
      <c r="C141" s="98" t="s">
        <v>213</v>
      </c>
      <c r="D141" s="39">
        <f>120+6.8</f>
        <v>126.8</v>
      </c>
      <c r="E141" s="39">
        <v>0</v>
      </c>
      <c r="F141" s="39">
        <v>0</v>
      </c>
      <c r="G141" s="103"/>
    </row>
    <row r="142" spans="1:7">
      <c r="A142" s="52" t="s">
        <v>77</v>
      </c>
      <c r="B142" s="16"/>
      <c r="C142" s="66" t="s">
        <v>47</v>
      </c>
      <c r="D142" s="41">
        <f>D143</f>
        <v>8532.1</v>
      </c>
      <c r="E142" s="41">
        <f>E143</f>
        <v>8283.7000000000007</v>
      </c>
      <c r="F142" s="41">
        <f>F143</f>
        <v>8283.7000000000007</v>
      </c>
      <c r="G142" s="103"/>
    </row>
    <row r="143" spans="1:7" ht="51" customHeight="1">
      <c r="A143" s="80">
        <v>190022200</v>
      </c>
      <c r="B143" s="82"/>
      <c r="C143" s="98" t="s">
        <v>453</v>
      </c>
      <c r="D143" s="41">
        <f>SUM(D144:D145)</f>
        <v>8532.1</v>
      </c>
      <c r="E143" s="41">
        <f>SUM(E144:E145)</f>
        <v>8283.7000000000007</v>
      </c>
      <c r="F143" s="41">
        <f>SUM(F144:F145)</f>
        <v>8283.7000000000007</v>
      </c>
      <c r="G143" s="103"/>
    </row>
    <row r="144" spans="1:7" ht="25.5">
      <c r="A144" s="80">
        <v>190022200</v>
      </c>
      <c r="B144" s="16" t="s">
        <v>63</v>
      </c>
      <c r="C144" s="55" t="s">
        <v>64</v>
      </c>
      <c r="D144" s="41">
        <f>4887.2+592.5+1638.9+711.9+248.5</f>
        <v>8079</v>
      </c>
      <c r="E144" s="41">
        <f>4887.2+592.5+1638.9+712</f>
        <v>7830.6</v>
      </c>
      <c r="F144" s="41">
        <f>4887.2+592.5+1638.9+712</f>
        <v>7830.6</v>
      </c>
      <c r="G144" s="103"/>
    </row>
    <row r="145" spans="1:7" ht="38.25">
      <c r="A145" s="80">
        <v>190022200</v>
      </c>
      <c r="B145" s="82" t="s">
        <v>212</v>
      </c>
      <c r="C145" s="98" t="s">
        <v>213</v>
      </c>
      <c r="D145" s="41">
        <f>453.1</f>
        <v>453.1</v>
      </c>
      <c r="E145" s="41">
        <f t="shared" ref="E145:F145" si="32">453.1</f>
        <v>453.1</v>
      </c>
      <c r="F145" s="41">
        <f t="shared" si="32"/>
        <v>453.1</v>
      </c>
      <c r="G145" s="103"/>
    </row>
    <row r="146" spans="1:7" ht="78" customHeight="1">
      <c r="A146" s="73" t="s">
        <v>60</v>
      </c>
      <c r="B146" s="35"/>
      <c r="C146" s="53" t="s">
        <v>611</v>
      </c>
      <c r="D146" s="65">
        <f>D147+D192+D207+D223</f>
        <v>116986.5</v>
      </c>
      <c r="E146" s="65">
        <f>E147+E192+E207+E223</f>
        <v>87156.3</v>
      </c>
      <c r="F146" s="65">
        <f>F147+F192+F207+F223</f>
        <v>87156.3</v>
      </c>
      <c r="G146" s="103"/>
    </row>
    <row r="147" spans="1:7" ht="25.5">
      <c r="A147" s="21" t="s">
        <v>61</v>
      </c>
      <c r="B147" s="35"/>
      <c r="C147" s="48" t="s">
        <v>172</v>
      </c>
      <c r="D147" s="58">
        <f>D148+D165+D176+D181+D184+D189</f>
        <v>96992.7</v>
      </c>
      <c r="E147" s="58">
        <f>E148+E165+E176+E181+E184+E189</f>
        <v>75721.8</v>
      </c>
      <c r="F147" s="58">
        <f>F148+F165+F176+F181+F184+F189</f>
        <v>75721.8</v>
      </c>
      <c r="G147" s="103"/>
    </row>
    <row r="148" spans="1:7" ht="38.25">
      <c r="A148" s="21" t="s">
        <v>209</v>
      </c>
      <c r="B148" s="35"/>
      <c r="C148" s="101" t="s">
        <v>214</v>
      </c>
      <c r="D148" s="94">
        <f>D149+D153+D155+D158+D161+D163</f>
        <v>78917.2</v>
      </c>
      <c r="E148" s="94">
        <f t="shared" ref="E148:F148" si="33">E149+E153+E155+E158+E161+E163</f>
        <v>60240.800000000003</v>
      </c>
      <c r="F148" s="94">
        <f t="shared" si="33"/>
        <v>60240.800000000003</v>
      </c>
      <c r="G148" s="103"/>
    </row>
    <row r="149" spans="1:7" ht="25.5">
      <c r="A149" s="74">
        <v>210122900</v>
      </c>
      <c r="B149" s="16"/>
      <c r="C149" s="99" t="s">
        <v>171</v>
      </c>
      <c r="D149" s="39">
        <f>SUM(D150:D152)</f>
        <v>14462.900000000001</v>
      </c>
      <c r="E149" s="39">
        <f t="shared" ref="E149:F149" si="34">SUM(E150:E152)</f>
        <v>10293.400000000001</v>
      </c>
      <c r="F149" s="39">
        <f t="shared" si="34"/>
        <v>10293.400000000001</v>
      </c>
      <c r="G149" s="103"/>
    </row>
    <row r="150" spans="1:7" ht="25.5">
      <c r="A150" s="74">
        <v>210122900</v>
      </c>
      <c r="B150" s="82" t="s">
        <v>65</v>
      </c>
      <c r="C150" s="55" t="s">
        <v>131</v>
      </c>
      <c r="D150" s="39">
        <f>5408.8-17.4-1.5-21.4</f>
        <v>5368.5000000000009</v>
      </c>
      <c r="E150" s="39">
        <f>5635.6-17.4</f>
        <v>5618.2000000000007</v>
      </c>
      <c r="F150" s="39">
        <f>5635.6-17.4</f>
        <v>5618.2000000000007</v>
      </c>
      <c r="G150" s="103"/>
    </row>
    <row r="151" spans="1:7" ht="38.25">
      <c r="A151" s="74">
        <v>210122900</v>
      </c>
      <c r="B151" s="82" t="s">
        <v>212</v>
      </c>
      <c r="C151" s="98" t="s">
        <v>213</v>
      </c>
      <c r="D151" s="39">
        <f>5956.5+2577.4+502.4-13.4+70</f>
        <v>9092.9</v>
      </c>
      <c r="E151" s="39">
        <v>4675.2</v>
      </c>
      <c r="F151" s="39">
        <v>4675.2</v>
      </c>
      <c r="G151" s="103"/>
    </row>
    <row r="152" spans="1:7">
      <c r="A152" s="74">
        <v>210122900</v>
      </c>
      <c r="B152" s="82" t="s">
        <v>132</v>
      </c>
      <c r="C152" s="98" t="s">
        <v>133</v>
      </c>
      <c r="D152" s="39">
        <v>1.5</v>
      </c>
      <c r="E152" s="39">
        <v>0</v>
      </c>
      <c r="F152" s="39">
        <v>0</v>
      </c>
      <c r="G152" s="103"/>
    </row>
    <row r="153" spans="1:7" ht="51">
      <c r="A153" s="74">
        <v>210121100</v>
      </c>
      <c r="B153" s="16"/>
      <c r="C153" s="99" t="s">
        <v>173</v>
      </c>
      <c r="D153" s="39">
        <f>D154</f>
        <v>33743.699999999997</v>
      </c>
      <c r="E153" s="39">
        <f>E154</f>
        <v>26356.9</v>
      </c>
      <c r="F153" s="39">
        <f>F154</f>
        <v>26356.9</v>
      </c>
      <c r="G153" s="103"/>
    </row>
    <row r="154" spans="1:7">
      <c r="A154" s="74">
        <v>210121100</v>
      </c>
      <c r="B154" s="21" t="s">
        <v>226</v>
      </c>
      <c r="C154" s="98" t="s">
        <v>225</v>
      </c>
      <c r="D154" s="39">
        <f>33945.3-18.5-109.8-25-48.3</f>
        <v>33743.699999999997</v>
      </c>
      <c r="E154" s="1">
        <f>26485.2-18.5-109.8</f>
        <v>26356.9</v>
      </c>
      <c r="F154" s="1">
        <f>26485.2-18.5-109.8</f>
        <v>26356.9</v>
      </c>
      <c r="G154" s="103"/>
    </row>
    <row r="155" spans="1:7" ht="38.25">
      <c r="A155" s="74" t="s">
        <v>454</v>
      </c>
      <c r="B155" s="82"/>
      <c r="C155" s="98" t="s">
        <v>319</v>
      </c>
      <c r="D155" s="39">
        <f>SUM(D156:D157)</f>
        <v>305.60000000000002</v>
      </c>
      <c r="E155" s="39">
        <f>SUM(E156:E157)</f>
        <v>235.9</v>
      </c>
      <c r="F155" s="39">
        <f>SUM(F156:F157)</f>
        <v>235.9</v>
      </c>
      <c r="G155" s="103"/>
    </row>
    <row r="156" spans="1:7" ht="25.5">
      <c r="A156" s="74" t="s">
        <v>454</v>
      </c>
      <c r="B156" s="82" t="s">
        <v>65</v>
      </c>
      <c r="C156" s="55" t="s">
        <v>131</v>
      </c>
      <c r="D156" s="39">
        <f>50+17.4+21.4</f>
        <v>88.800000000000011</v>
      </c>
      <c r="E156" s="39">
        <f t="shared" ref="E156:F156" si="35">50+17.4</f>
        <v>67.400000000000006</v>
      </c>
      <c r="F156" s="39">
        <f t="shared" si="35"/>
        <v>67.400000000000006</v>
      </c>
      <c r="G156" s="103"/>
    </row>
    <row r="157" spans="1:7">
      <c r="A157" s="74" t="s">
        <v>454</v>
      </c>
      <c r="B157" s="21" t="s">
        <v>226</v>
      </c>
      <c r="C157" s="98" t="s">
        <v>225</v>
      </c>
      <c r="D157" s="39">
        <f>150+18.5+48.3</f>
        <v>216.8</v>
      </c>
      <c r="E157" s="39">
        <f t="shared" ref="E157:F157" si="36">150+18.5</f>
        <v>168.5</v>
      </c>
      <c r="F157" s="39">
        <f t="shared" si="36"/>
        <v>168.5</v>
      </c>
      <c r="G157" s="103"/>
    </row>
    <row r="158" spans="1:7" ht="51">
      <c r="A158" s="74">
        <v>210110680</v>
      </c>
      <c r="B158" s="82"/>
      <c r="C158" s="98" t="s">
        <v>358</v>
      </c>
      <c r="D158" s="39">
        <f>SUM(D159:D160)</f>
        <v>30251.600000000002</v>
      </c>
      <c r="E158" s="39">
        <f t="shared" ref="E158:F158" si="37">SUM(E159:E160)</f>
        <v>23354.600000000002</v>
      </c>
      <c r="F158" s="39">
        <f t="shared" si="37"/>
        <v>23354.600000000002</v>
      </c>
      <c r="G158" s="103"/>
    </row>
    <row r="159" spans="1:7" ht="25.5">
      <c r="A159" s="74">
        <v>210110680</v>
      </c>
      <c r="B159" s="82" t="s">
        <v>65</v>
      </c>
      <c r="C159" s="55" t="s">
        <v>131</v>
      </c>
      <c r="D159" s="39">
        <f>6672.7+2118.3</f>
        <v>8791</v>
      </c>
      <c r="E159" s="39">
        <v>6672.7</v>
      </c>
      <c r="F159" s="39">
        <v>6672.7</v>
      </c>
      <c r="G159" s="103"/>
    </row>
    <row r="160" spans="1:7">
      <c r="A160" s="74">
        <v>210110680</v>
      </c>
      <c r="B160" s="21" t="s">
        <v>226</v>
      </c>
      <c r="C160" s="98" t="s">
        <v>225</v>
      </c>
      <c r="D160" s="39">
        <f>16681.9+4778.7</f>
        <v>21460.600000000002</v>
      </c>
      <c r="E160" s="39">
        <v>16681.900000000001</v>
      </c>
      <c r="F160" s="39">
        <v>16681.900000000001</v>
      </c>
      <c r="G160" s="103"/>
    </row>
    <row r="161" spans="1:7" ht="38.25">
      <c r="A161" s="74" t="s">
        <v>743</v>
      </c>
      <c r="B161" s="21"/>
      <c r="C161" s="54" t="s">
        <v>744</v>
      </c>
      <c r="D161" s="39">
        <f>D162</f>
        <v>133.4</v>
      </c>
      <c r="E161" s="39">
        <f t="shared" ref="E161:F161" si="38">E162</f>
        <v>0</v>
      </c>
      <c r="F161" s="39">
        <f t="shared" si="38"/>
        <v>0</v>
      </c>
      <c r="G161" s="103"/>
    </row>
    <row r="162" spans="1:7" ht="38.25">
      <c r="A162" s="74" t="s">
        <v>743</v>
      </c>
      <c r="B162" s="82" t="s">
        <v>212</v>
      </c>
      <c r="C162" s="98" t="s">
        <v>213</v>
      </c>
      <c r="D162" s="39">
        <f>120+13.4</f>
        <v>133.4</v>
      </c>
      <c r="E162" s="39">
        <v>0</v>
      </c>
      <c r="F162" s="39">
        <v>0</v>
      </c>
      <c r="G162" s="103"/>
    </row>
    <row r="163" spans="1:7" ht="38.25">
      <c r="A163" s="165" t="s">
        <v>751</v>
      </c>
      <c r="B163" s="82"/>
      <c r="C163" s="124" t="s">
        <v>752</v>
      </c>
      <c r="D163" s="39">
        <f>D164</f>
        <v>20</v>
      </c>
      <c r="E163" s="39">
        <f t="shared" ref="E163:F163" si="39">E164</f>
        <v>0</v>
      </c>
      <c r="F163" s="39">
        <f t="shared" si="39"/>
        <v>0</v>
      </c>
      <c r="G163" s="103"/>
    </row>
    <row r="164" spans="1:7" ht="38.25">
      <c r="A164" s="165" t="s">
        <v>751</v>
      </c>
      <c r="B164" s="82" t="s">
        <v>212</v>
      </c>
      <c r="C164" s="98" t="s">
        <v>213</v>
      </c>
      <c r="D164" s="39">
        <v>20</v>
      </c>
      <c r="E164" s="39">
        <v>0</v>
      </c>
      <c r="F164" s="39">
        <v>0</v>
      </c>
      <c r="G164" s="103"/>
    </row>
    <row r="165" spans="1:7" ht="25.5">
      <c r="A165" s="21" t="s">
        <v>255</v>
      </c>
      <c r="B165" s="21"/>
      <c r="C165" s="101" t="s">
        <v>455</v>
      </c>
      <c r="D165" s="39">
        <f>D166+D168+D170+D172+D174</f>
        <v>15669.5</v>
      </c>
      <c r="E165" s="39">
        <f t="shared" ref="E165:F165" si="40">E166+E168+E170+E172+E174</f>
        <v>15144.999999999998</v>
      </c>
      <c r="F165" s="39">
        <f t="shared" si="40"/>
        <v>15144.999999999998</v>
      </c>
      <c r="G165" s="103"/>
    </row>
    <row r="166" spans="1:7" ht="25.5">
      <c r="A166" s="74">
        <v>210221100</v>
      </c>
      <c r="B166" s="16"/>
      <c r="C166" s="99" t="s">
        <v>174</v>
      </c>
      <c r="D166" s="39">
        <f>D167</f>
        <v>10757.400000000001</v>
      </c>
      <c r="E166" s="39">
        <f>E167</f>
        <v>11353.199999999999</v>
      </c>
      <c r="F166" s="39">
        <f>F167</f>
        <v>11353.199999999999</v>
      </c>
      <c r="G166" s="103"/>
    </row>
    <row r="167" spans="1:7">
      <c r="A167" s="74">
        <v>210221100</v>
      </c>
      <c r="B167" s="21" t="s">
        <v>226</v>
      </c>
      <c r="C167" s="98" t="s">
        <v>225</v>
      </c>
      <c r="D167" s="1">
        <f>10427.2-6.1+236+111.5-10.4-0.8</f>
        <v>10757.400000000001</v>
      </c>
      <c r="E167" s="1">
        <f>11359.3-6.1</f>
        <v>11353.199999999999</v>
      </c>
      <c r="F167" s="1">
        <f>11359.3-6.1</f>
        <v>11353.199999999999</v>
      </c>
      <c r="G167" s="103"/>
    </row>
    <row r="168" spans="1:7" ht="63.75">
      <c r="A168" s="74">
        <v>210210690</v>
      </c>
      <c r="B168" s="21"/>
      <c r="C168" s="98" t="s">
        <v>320</v>
      </c>
      <c r="D168" s="39">
        <f>D169</f>
        <v>4781.3999999999996</v>
      </c>
      <c r="E168" s="39">
        <f>E169</f>
        <v>3753.9</v>
      </c>
      <c r="F168" s="39">
        <f>F169</f>
        <v>3753.9</v>
      </c>
      <c r="G168" s="103"/>
    </row>
    <row r="169" spans="1:7">
      <c r="A169" s="74">
        <v>210210690</v>
      </c>
      <c r="B169" s="21" t="s">
        <v>226</v>
      </c>
      <c r="C169" s="98" t="s">
        <v>225</v>
      </c>
      <c r="D169" s="133">
        <f>3753.9+1027.5</f>
        <v>4781.3999999999996</v>
      </c>
      <c r="E169" s="133">
        <v>3753.9</v>
      </c>
      <c r="F169" s="133">
        <v>3753.9</v>
      </c>
      <c r="G169" s="103"/>
    </row>
    <row r="170" spans="1:7" ht="51">
      <c r="A170" s="74" t="s">
        <v>456</v>
      </c>
      <c r="B170" s="82"/>
      <c r="C170" s="98" t="s">
        <v>321</v>
      </c>
      <c r="D170" s="39">
        <f>SUM(D171:D171)</f>
        <v>48.3</v>
      </c>
      <c r="E170" s="39">
        <f>SUM(E171:E171)</f>
        <v>37.9</v>
      </c>
      <c r="F170" s="39">
        <f>SUM(F171:F171)</f>
        <v>37.9</v>
      </c>
      <c r="G170" s="103"/>
    </row>
    <row r="171" spans="1:7">
      <c r="A171" s="74" t="s">
        <v>456</v>
      </c>
      <c r="B171" s="21" t="s">
        <v>226</v>
      </c>
      <c r="C171" s="98" t="s">
        <v>225</v>
      </c>
      <c r="D171" s="39">
        <f>31.8+6.1+10.4</f>
        <v>48.3</v>
      </c>
      <c r="E171" s="39">
        <f t="shared" ref="E171:F171" si="41">31.8+6.1</f>
        <v>37.9</v>
      </c>
      <c r="F171" s="39">
        <f t="shared" si="41"/>
        <v>37.9</v>
      </c>
      <c r="G171" s="103"/>
    </row>
    <row r="172" spans="1:7" ht="51">
      <c r="A172" s="74">
        <v>210211390</v>
      </c>
      <c r="B172" s="170"/>
      <c r="C172" s="174" t="s">
        <v>779</v>
      </c>
      <c r="D172" s="171">
        <f>D173</f>
        <v>81.599999999999994</v>
      </c>
      <c r="E172" s="39">
        <f t="shared" ref="E172:F172" si="42">E173</f>
        <v>0</v>
      </c>
      <c r="F172" s="39">
        <f t="shared" si="42"/>
        <v>0</v>
      </c>
      <c r="G172" s="103"/>
    </row>
    <row r="173" spans="1:7">
      <c r="A173" s="74">
        <v>210211390</v>
      </c>
      <c r="B173" s="21" t="s">
        <v>226</v>
      </c>
      <c r="C173" s="173" t="s">
        <v>225</v>
      </c>
      <c r="D173" s="39">
        <v>81.599999999999994</v>
      </c>
      <c r="E173" s="39">
        <v>0</v>
      </c>
      <c r="F173" s="39">
        <v>0</v>
      </c>
      <c r="G173" s="103"/>
    </row>
    <row r="174" spans="1:7" ht="63.75">
      <c r="A174" s="74" t="s">
        <v>780</v>
      </c>
      <c r="B174" s="21"/>
      <c r="C174" s="108" t="s">
        <v>781</v>
      </c>
      <c r="D174" s="39">
        <f>D175</f>
        <v>0.8</v>
      </c>
      <c r="E174" s="39">
        <f t="shared" ref="E174:F174" si="43">E175</f>
        <v>0</v>
      </c>
      <c r="F174" s="39">
        <f t="shared" si="43"/>
        <v>0</v>
      </c>
      <c r="G174" s="103"/>
    </row>
    <row r="175" spans="1:7">
      <c r="A175" s="74" t="s">
        <v>780</v>
      </c>
      <c r="B175" s="21" t="s">
        <v>226</v>
      </c>
      <c r="C175" s="98" t="s">
        <v>225</v>
      </c>
      <c r="D175" s="39">
        <v>0.8</v>
      </c>
      <c r="E175" s="39">
        <v>0</v>
      </c>
      <c r="F175" s="39">
        <v>0</v>
      </c>
      <c r="G175" s="103"/>
    </row>
    <row r="176" spans="1:7" ht="51">
      <c r="A176" s="21" t="s">
        <v>257</v>
      </c>
      <c r="B176" s="35"/>
      <c r="C176" s="98" t="s">
        <v>256</v>
      </c>
      <c r="D176" s="41">
        <f>D177+D179</f>
        <v>1569</v>
      </c>
      <c r="E176" s="41">
        <f t="shared" ref="E176:F176" si="44">E177+E179</f>
        <v>35</v>
      </c>
      <c r="F176" s="41">
        <f t="shared" si="44"/>
        <v>35</v>
      </c>
      <c r="G176" s="103"/>
    </row>
    <row r="177" spans="1:7" ht="51">
      <c r="A177" s="125" t="s">
        <v>457</v>
      </c>
      <c r="B177" s="82"/>
      <c r="C177" s="131" t="s">
        <v>373</v>
      </c>
      <c r="D177" s="39">
        <f>D178</f>
        <v>624</v>
      </c>
      <c r="E177" s="39">
        <f>E178</f>
        <v>35</v>
      </c>
      <c r="F177" s="39">
        <f>F178</f>
        <v>35</v>
      </c>
      <c r="G177" s="103"/>
    </row>
    <row r="178" spans="1:7">
      <c r="A178" s="125" t="s">
        <v>457</v>
      </c>
      <c r="B178" s="21" t="s">
        <v>226</v>
      </c>
      <c r="C178" s="98" t="s">
        <v>225</v>
      </c>
      <c r="D178" s="39">
        <f>13+611</f>
        <v>624</v>
      </c>
      <c r="E178" s="39">
        <v>35</v>
      </c>
      <c r="F178" s="39">
        <v>35</v>
      </c>
      <c r="G178" s="103"/>
    </row>
    <row r="179" spans="1:7" ht="42.75" customHeight="1">
      <c r="A179" s="134" t="s">
        <v>459</v>
      </c>
      <c r="B179" s="21"/>
      <c r="C179" s="98" t="s">
        <v>458</v>
      </c>
      <c r="D179" s="39">
        <f>D180</f>
        <v>945</v>
      </c>
      <c r="E179" s="39">
        <f>E180</f>
        <v>0</v>
      </c>
      <c r="F179" s="39">
        <f>F180</f>
        <v>0</v>
      </c>
      <c r="G179" s="103"/>
    </row>
    <row r="180" spans="1:7">
      <c r="A180" s="134" t="s">
        <v>459</v>
      </c>
      <c r="B180" s="21" t="s">
        <v>226</v>
      </c>
      <c r="C180" s="98" t="s">
        <v>225</v>
      </c>
      <c r="D180" s="39">
        <v>945</v>
      </c>
      <c r="E180" s="39">
        <v>0</v>
      </c>
      <c r="F180" s="39">
        <v>0</v>
      </c>
      <c r="G180" s="103"/>
    </row>
    <row r="181" spans="1:7" ht="37.5" customHeight="1">
      <c r="A181" s="134" t="s">
        <v>460</v>
      </c>
      <c r="B181" s="21"/>
      <c r="C181" s="98" t="s">
        <v>461</v>
      </c>
      <c r="D181" s="39">
        <f>D182</f>
        <v>0</v>
      </c>
      <c r="E181" s="39">
        <f t="shared" ref="E181:F181" si="45">E182</f>
        <v>1</v>
      </c>
      <c r="F181" s="39">
        <f t="shared" si="45"/>
        <v>1</v>
      </c>
      <c r="G181" s="103"/>
    </row>
    <row r="182" spans="1:7" ht="48.75" customHeight="1">
      <c r="A182" s="134" t="s">
        <v>463</v>
      </c>
      <c r="B182" s="21"/>
      <c r="C182" s="98" t="s">
        <v>462</v>
      </c>
      <c r="D182" s="39">
        <f>D183</f>
        <v>0</v>
      </c>
      <c r="E182" s="39">
        <f>E183</f>
        <v>1</v>
      </c>
      <c r="F182" s="39">
        <f>F183</f>
        <v>1</v>
      </c>
      <c r="G182" s="103"/>
    </row>
    <row r="183" spans="1:7">
      <c r="A183" s="134" t="s">
        <v>463</v>
      </c>
      <c r="B183" s="21" t="s">
        <v>226</v>
      </c>
      <c r="C183" s="98" t="s">
        <v>225</v>
      </c>
      <c r="D183" s="39">
        <f>1-1</f>
        <v>0</v>
      </c>
      <c r="E183" s="39">
        <v>1</v>
      </c>
      <c r="F183" s="39">
        <v>1</v>
      </c>
      <c r="G183" s="103"/>
    </row>
    <row r="184" spans="1:7" ht="25.5">
      <c r="A184" s="21" t="s">
        <v>464</v>
      </c>
      <c r="B184" s="35"/>
      <c r="C184" s="101" t="s">
        <v>258</v>
      </c>
      <c r="D184" s="41">
        <f>D185+D187</f>
        <v>599.79999999999995</v>
      </c>
      <c r="E184" s="41">
        <f t="shared" ref="E184:F184" si="46">E185+E187</f>
        <v>300</v>
      </c>
      <c r="F184" s="41">
        <f t="shared" si="46"/>
        <v>300</v>
      </c>
      <c r="G184" s="103"/>
    </row>
    <row r="185" spans="1:7" ht="38.25">
      <c r="A185" s="21" t="s">
        <v>465</v>
      </c>
      <c r="B185" s="16"/>
      <c r="C185" s="98" t="s">
        <v>175</v>
      </c>
      <c r="D185" s="41">
        <f t="shared" ref="D185:F185" si="47">D186</f>
        <v>499.8</v>
      </c>
      <c r="E185" s="41">
        <f t="shared" si="47"/>
        <v>300</v>
      </c>
      <c r="F185" s="41">
        <f t="shared" si="47"/>
        <v>300</v>
      </c>
      <c r="G185" s="103"/>
    </row>
    <row r="186" spans="1:7" ht="38.25">
      <c r="A186" s="21" t="s">
        <v>465</v>
      </c>
      <c r="B186" s="82" t="s">
        <v>212</v>
      </c>
      <c r="C186" s="98" t="s">
        <v>213</v>
      </c>
      <c r="D186" s="41">
        <f>374+125.8</f>
        <v>499.8</v>
      </c>
      <c r="E186" s="41">
        <v>300</v>
      </c>
      <c r="F186" s="41">
        <v>300</v>
      </c>
      <c r="G186" s="103"/>
    </row>
    <row r="187" spans="1:7" ht="25.5">
      <c r="A187" s="21" t="s">
        <v>753</v>
      </c>
      <c r="B187" s="82"/>
      <c r="C187" s="108" t="s">
        <v>754</v>
      </c>
      <c r="D187" s="41">
        <f>D188</f>
        <v>100</v>
      </c>
      <c r="E187" s="41">
        <f t="shared" ref="E187:F187" si="48">E188</f>
        <v>0</v>
      </c>
      <c r="F187" s="41">
        <f t="shared" si="48"/>
        <v>0</v>
      </c>
      <c r="G187" s="103"/>
    </row>
    <row r="188" spans="1:7" ht="38.25">
      <c r="A188" s="167" t="s">
        <v>753</v>
      </c>
      <c r="B188" s="82" t="s">
        <v>212</v>
      </c>
      <c r="C188" s="98" t="s">
        <v>213</v>
      </c>
      <c r="D188" s="41">
        <v>100</v>
      </c>
      <c r="E188" s="41">
        <v>0</v>
      </c>
      <c r="F188" s="41">
        <v>0</v>
      </c>
      <c r="G188" s="103"/>
    </row>
    <row r="189" spans="1:7" ht="38.25">
      <c r="A189" s="21" t="s">
        <v>669</v>
      </c>
      <c r="B189" s="82"/>
      <c r="C189" s="101" t="s">
        <v>685</v>
      </c>
      <c r="D189" s="41">
        <f>D190</f>
        <v>237.2</v>
      </c>
      <c r="E189" s="41">
        <f t="shared" ref="E189:F189" si="49">E190</f>
        <v>0</v>
      </c>
      <c r="F189" s="41">
        <f t="shared" si="49"/>
        <v>0</v>
      </c>
      <c r="G189" s="103"/>
    </row>
    <row r="190" spans="1:7" ht="25.5">
      <c r="A190" s="21" t="s">
        <v>701</v>
      </c>
      <c r="B190" s="82"/>
      <c r="C190" s="98" t="s">
        <v>667</v>
      </c>
      <c r="D190" s="41">
        <f>D191</f>
        <v>237.2</v>
      </c>
      <c r="E190" s="41">
        <f t="shared" ref="E190:F190" si="50">E191</f>
        <v>0</v>
      </c>
      <c r="F190" s="41">
        <f t="shared" si="50"/>
        <v>0</v>
      </c>
      <c r="G190" s="103"/>
    </row>
    <row r="191" spans="1:7">
      <c r="A191" s="21" t="s">
        <v>701</v>
      </c>
      <c r="B191" s="21" t="s">
        <v>226</v>
      </c>
      <c r="C191" s="98" t="s">
        <v>225</v>
      </c>
      <c r="D191" s="41">
        <v>237.2</v>
      </c>
      <c r="E191" s="41">
        <v>0</v>
      </c>
      <c r="F191" s="41">
        <v>0</v>
      </c>
      <c r="G191" s="103"/>
    </row>
    <row r="192" spans="1:7" ht="25.5">
      <c r="A192" s="52" t="s">
        <v>44</v>
      </c>
      <c r="B192" s="35"/>
      <c r="C192" s="48" t="s">
        <v>202</v>
      </c>
      <c r="D192" s="58">
        <f>D193+D202</f>
        <v>5986</v>
      </c>
      <c r="E192" s="58">
        <f t="shared" ref="E192:F192" si="51">E193+E202</f>
        <v>496.29999999999995</v>
      </c>
      <c r="F192" s="58">
        <f t="shared" si="51"/>
        <v>496.29999999999995</v>
      </c>
      <c r="G192" s="103"/>
    </row>
    <row r="193" spans="1:7" ht="76.5">
      <c r="A193" s="21" t="s">
        <v>259</v>
      </c>
      <c r="B193" s="35"/>
      <c r="C193" s="99" t="s">
        <v>260</v>
      </c>
      <c r="D193" s="58">
        <f>D194+D197+D200</f>
        <v>5736</v>
      </c>
      <c r="E193" s="58">
        <f t="shared" ref="E193:F193" si="52">E194+E197+E200</f>
        <v>496.29999999999995</v>
      </c>
      <c r="F193" s="58">
        <f t="shared" si="52"/>
        <v>496.29999999999995</v>
      </c>
      <c r="G193" s="103"/>
    </row>
    <row r="194" spans="1:7" ht="76.5">
      <c r="A194" s="21" t="s">
        <v>466</v>
      </c>
      <c r="B194" s="21"/>
      <c r="C194" s="99" t="s">
        <v>177</v>
      </c>
      <c r="D194" s="39">
        <f>SUM(D195:D196)</f>
        <v>565.80000000000007</v>
      </c>
      <c r="E194" s="39">
        <f t="shared" ref="E194:F194" si="53">SUM(E195:E196)</f>
        <v>415.7</v>
      </c>
      <c r="F194" s="39">
        <f t="shared" si="53"/>
        <v>415.7</v>
      </c>
      <c r="G194" s="103"/>
    </row>
    <row r="195" spans="1:7" ht="25.5">
      <c r="A195" s="21" t="s">
        <v>466</v>
      </c>
      <c r="B195" s="82" t="s">
        <v>65</v>
      </c>
      <c r="C195" s="55" t="s">
        <v>131</v>
      </c>
      <c r="D195" s="39">
        <f>130+0.1-6</f>
        <v>124.1</v>
      </c>
      <c r="E195" s="39">
        <v>0</v>
      </c>
      <c r="F195" s="39">
        <v>0</v>
      </c>
      <c r="G195" s="103"/>
    </row>
    <row r="196" spans="1:7" ht="38.25">
      <c r="A196" s="21" t="s">
        <v>466</v>
      </c>
      <c r="B196" s="82" t="s">
        <v>212</v>
      </c>
      <c r="C196" s="98" t="s">
        <v>213</v>
      </c>
      <c r="D196" s="39">
        <f>543.7-130+22+6</f>
        <v>441.70000000000005</v>
      </c>
      <c r="E196" s="39">
        <v>415.7</v>
      </c>
      <c r="F196" s="39">
        <v>415.7</v>
      </c>
      <c r="G196" s="103"/>
    </row>
    <row r="197" spans="1:7" ht="51">
      <c r="A197" s="21" t="s">
        <v>467</v>
      </c>
      <c r="B197" s="21"/>
      <c r="C197" s="99" t="s">
        <v>62</v>
      </c>
      <c r="D197" s="39">
        <f>SUM(D198:D199)</f>
        <v>68.5</v>
      </c>
      <c r="E197" s="39">
        <f>SUM(E198:E199)</f>
        <v>80.599999999999994</v>
      </c>
      <c r="F197" s="39">
        <f>SUM(F198:F199)</f>
        <v>80.599999999999994</v>
      </c>
      <c r="G197" s="103"/>
    </row>
    <row r="198" spans="1:7" ht="25.5">
      <c r="A198" s="21" t="s">
        <v>467</v>
      </c>
      <c r="B198" s="82" t="s">
        <v>65</v>
      </c>
      <c r="C198" s="55" t="s">
        <v>131</v>
      </c>
      <c r="D198" s="39">
        <f>39.6+8.4</f>
        <v>48</v>
      </c>
      <c r="E198" s="39">
        <v>39.6</v>
      </c>
      <c r="F198" s="39">
        <v>39.6</v>
      </c>
      <c r="G198" s="103"/>
    </row>
    <row r="199" spans="1:7" ht="38.25">
      <c r="A199" s="21" t="s">
        <v>467</v>
      </c>
      <c r="B199" s="82" t="s">
        <v>212</v>
      </c>
      <c r="C199" s="98" t="s">
        <v>213</v>
      </c>
      <c r="D199" s="39">
        <f>51-30.5</f>
        <v>20.5</v>
      </c>
      <c r="E199" s="39">
        <v>41</v>
      </c>
      <c r="F199" s="39">
        <v>41</v>
      </c>
      <c r="G199" s="103"/>
    </row>
    <row r="200" spans="1:7" ht="25.5">
      <c r="A200" s="21" t="s">
        <v>719</v>
      </c>
      <c r="B200" s="82"/>
      <c r="C200" s="98" t="s">
        <v>718</v>
      </c>
      <c r="D200" s="39">
        <f>D201</f>
        <v>5101.7</v>
      </c>
      <c r="E200" s="39">
        <f t="shared" ref="E200:F200" si="54">E201</f>
        <v>0</v>
      </c>
      <c r="F200" s="39">
        <f t="shared" si="54"/>
        <v>0</v>
      </c>
      <c r="G200" s="103"/>
    </row>
    <row r="201" spans="1:7" ht="38.25">
      <c r="A201" s="21" t="s">
        <v>719</v>
      </c>
      <c r="B201" s="82" t="s">
        <v>212</v>
      </c>
      <c r="C201" s="98" t="s">
        <v>213</v>
      </c>
      <c r="D201" s="39">
        <v>5101.7</v>
      </c>
      <c r="E201" s="39">
        <v>0</v>
      </c>
      <c r="F201" s="39">
        <v>0</v>
      </c>
      <c r="G201" s="103"/>
    </row>
    <row r="202" spans="1:7" ht="25.5">
      <c r="A202" s="21" t="s">
        <v>687</v>
      </c>
      <c r="B202" s="82"/>
      <c r="C202" s="98" t="s">
        <v>686</v>
      </c>
      <c r="D202" s="39">
        <f>D203+D205</f>
        <v>250</v>
      </c>
      <c r="E202" s="39">
        <f t="shared" ref="E202:F202" si="55">E203+E205</f>
        <v>0</v>
      </c>
      <c r="F202" s="39">
        <f t="shared" si="55"/>
        <v>0</v>
      </c>
      <c r="G202" s="103"/>
    </row>
    <row r="203" spans="1:7" ht="42" customHeight="1">
      <c r="A203" s="21" t="s">
        <v>676</v>
      </c>
      <c r="B203" s="82"/>
      <c r="C203" s="98" t="s">
        <v>677</v>
      </c>
      <c r="D203" s="39">
        <f t="shared" ref="D203:F203" si="56">D204</f>
        <v>50</v>
      </c>
      <c r="E203" s="39">
        <f t="shared" si="56"/>
        <v>0</v>
      </c>
      <c r="F203" s="39">
        <f t="shared" si="56"/>
        <v>0</v>
      </c>
      <c r="G203" s="103"/>
    </row>
    <row r="204" spans="1:7" ht="38.25">
      <c r="A204" s="21" t="s">
        <v>676</v>
      </c>
      <c r="B204" s="82" t="s">
        <v>212</v>
      </c>
      <c r="C204" s="98" t="s">
        <v>213</v>
      </c>
      <c r="D204" s="39">
        <v>50</v>
      </c>
      <c r="E204" s="39">
        <v>0</v>
      </c>
      <c r="F204" s="39">
        <v>0</v>
      </c>
      <c r="G204" s="103"/>
    </row>
    <row r="205" spans="1:7" ht="38.25">
      <c r="A205" s="21" t="s">
        <v>731</v>
      </c>
      <c r="B205" s="82"/>
      <c r="C205" s="98" t="s">
        <v>732</v>
      </c>
      <c r="D205" s="39">
        <f>D206</f>
        <v>200</v>
      </c>
      <c r="E205" s="39">
        <f t="shared" ref="E205:F205" si="57">E206</f>
        <v>0</v>
      </c>
      <c r="F205" s="39">
        <f t="shared" si="57"/>
        <v>0</v>
      </c>
      <c r="G205" s="103"/>
    </row>
    <row r="206" spans="1:7" ht="38.25">
      <c r="A206" s="21" t="s">
        <v>731</v>
      </c>
      <c r="B206" s="82" t="s">
        <v>212</v>
      </c>
      <c r="C206" s="98" t="s">
        <v>213</v>
      </c>
      <c r="D206" s="39">
        <v>200</v>
      </c>
      <c r="E206" s="39">
        <v>0</v>
      </c>
      <c r="F206" s="39">
        <v>0</v>
      </c>
      <c r="G206" s="103"/>
    </row>
    <row r="207" spans="1:7" ht="25.5">
      <c r="A207" s="52" t="s">
        <v>31</v>
      </c>
      <c r="B207" s="21"/>
      <c r="C207" s="48" t="s">
        <v>178</v>
      </c>
      <c r="D207" s="41">
        <f>D208+D217+D220</f>
        <v>10604.300000000001</v>
      </c>
      <c r="E207" s="41">
        <f>E208+E217+E220</f>
        <v>7787.2</v>
      </c>
      <c r="F207" s="41">
        <f>F208+F217+F220</f>
        <v>7787.2</v>
      </c>
      <c r="G207" s="103"/>
    </row>
    <row r="208" spans="1:7" ht="25.5">
      <c r="A208" s="21" t="s">
        <v>210</v>
      </c>
      <c r="B208" s="16"/>
      <c r="C208" s="101" t="s">
        <v>312</v>
      </c>
      <c r="D208" s="41">
        <f>D209+D211+D213+D215</f>
        <v>357.20000000000005</v>
      </c>
      <c r="E208" s="41">
        <f>E209+E211+E213+E215</f>
        <v>361.20000000000005</v>
      </c>
      <c r="F208" s="41">
        <f>F209+F211+F213+F215</f>
        <v>361.20000000000005</v>
      </c>
      <c r="G208" s="103"/>
    </row>
    <row r="209" spans="1:7" ht="51">
      <c r="A209" s="136" t="s">
        <v>468</v>
      </c>
      <c r="B209" s="16"/>
      <c r="C209" s="100" t="s">
        <v>207</v>
      </c>
      <c r="D209" s="39">
        <f>D210</f>
        <v>6.6</v>
      </c>
      <c r="E209" s="39">
        <f>E210</f>
        <v>6.6</v>
      </c>
      <c r="F209" s="39">
        <f>F210</f>
        <v>6.6</v>
      </c>
      <c r="G209" s="103"/>
    </row>
    <row r="210" spans="1:7" ht="38.25">
      <c r="A210" s="136" t="s">
        <v>468</v>
      </c>
      <c r="B210" s="82" t="s">
        <v>212</v>
      </c>
      <c r="C210" s="98" t="s">
        <v>213</v>
      </c>
      <c r="D210" s="41">
        <v>6.6</v>
      </c>
      <c r="E210" s="41">
        <v>6.6</v>
      </c>
      <c r="F210" s="41">
        <v>6.6</v>
      </c>
      <c r="G210" s="103"/>
    </row>
    <row r="211" spans="1:7" ht="25.5">
      <c r="A211" s="136" t="s">
        <v>469</v>
      </c>
      <c r="B211" s="16"/>
      <c r="C211" s="98" t="s">
        <v>179</v>
      </c>
      <c r="D211" s="41">
        <f>D212</f>
        <v>300.60000000000002</v>
      </c>
      <c r="E211" s="41">
        <f>E212</f>
        <v>289.60000000000002</v>
      </c>
      <c r="F211" s="41">
        <f>F212</f>
        <v>289.60000000000002</v>
      </c>
      <c r="G211" s="103"/>
    </row>
    <row r="212" spans="1:7" ht="38.25">
      <c r="A212" s="136" t="s">
        <v>469</v>
      </c>
      <c r="B212" s="82" t="s">
        <v>212</v>
      </c>
      <c r="C212" s="98" t="s">
        <v>213</v>
      </c>
      <c r="D212" s="41">
        <f>289.6-4+15</f>
        <v>300.60000000000002</v>
      </c>
      <c r="E212" s="41">
        <v>289.60000000000002</v>
      </c>
      <c r="F212" s="41">
        <v>289.60000000000002</v>
      </c>
      <c r="G212" s="103"/>
    </row>
    <row r="213" spans="1:7" ht="51">
      <c r="A213" s="136" t="s">
        <v>470</v>
      </c>
      <c r="B213" s="16"/>
      <c r="C213" s="98" t="s">
        <v>78</v>
      </c>
      <c r="D213" s="41">
        <f>D214</f>
        <v>0</v>
      </c>
      <c r="E213" s="41">
        <f>E214</f>
        <v>15</v>
      </c>
      <c r="F213" s="41">
        <f>F214</f>
        <v>15</v>
      </c>
      <c r="G213" s="103"/>
    </row>
    <row r="214" spans="1:7" ht="38.25">
      <c r="A214" s="136" t="s">
        <v>470</v>
      </c>
      <c r="B214" s="82" t="s">
        <v>212</v>
      </c>
      <c r="C214" s="98" t="s">
        <v>213</v>
      </c>
      <c r="D214" s="41">
        <f>15-15</f>
        <v>0</v>
      </c>
      <c r="E214" s="41">
        <v>15</v>
      </c>
      <c r="F214" s="41">
        <v>15</v>
      </c>
      <c r="G214" s="103"/>
    </row>
    <row r="215" spans="1:7">
      <c r="A215" s="136" t="s">
        <v>471</v>
      </c>
      <c r="B215" s="82"/>
      <c r="C215" s="54" t="s">
        <v>385</v>
      </c>
      <c r="D215" s="41">
        <f>D216</f>
        <v>50</v>
      </c>
      <c r="E215" s="41">
        <f>E216</f>
        <v>50</v>
      </c>
      <c r="F215" s="41">
        <f>F216</f>
        <v>50</v>
      </c>
      <c r="G215" s="103"/>
    </row>
    <row r="216" spans="1:7" ht="38.25">
      <c r="A216" s="136" t="s">
        <v>471</v>
      </c>
      <c r="B216" s="82" t="s">
        <v>212</v>
      </c>
      <c r="C216" s="98" t="s">
        <v>213</v>
      </c>
      <c r="D216" s="41">
        <v>50</v>
      </c>
      <c r="E216" s="41">
        <v>50</v>
      </c>
      <c r="F216" s="41">
        <v>50</v>
      </c>
      <c r="G216" s="103"/>
    </row>
    <row r="217" spans="1:7" ht="76.5">
      <c r="A217" s="21" t="s">
        <v>261</v>
      </c>
      <c r="B217" s="16"/>
      <c r="C217" s="101" t="s">
        <v>262</v>
      </c>
      <c r="D217" s="41">
        <f t="shared" ref="D217:F218" si="58">D218</f>
        <v>8963.4</v>
      </c>
      <c r="E217" s="41">
        <f t="shared" si="58"/>
        <v>7426</v>
      </c>
      <c r="F217" s="41">
        <f t="shared" si="58"/>
        <v>7426</v>
      </c>
      <c r="G217" s="103"/>
    </row>
    <row r="218" spans="1:7" ht="38.25">
      <c r="A218" s="74">
        <v>230221100</v>
      </c>
      <c r="B218" s="16"/>
      <c r="C218" s="98" t="s">
        <v>0</v>
      </c>
      <c r="D218" s="41">
        <f t="shared" si="58"/>
        <v>8963.4</v>
      </c>
      <c r="E218" s="41">
        <f t="shared" si="58"/>
        <v>7426</v>
      </c>
      <c r="F218" s="41">
        <f t="shared" si="58"/>
        <v>7426</v>
      </c>
      <c r="G218" s="103"/>
    </row>
    <row r="219" spans="1:7">
      <c r="A219" s="74">
        <v>230221100</v>
      </c>
      <c r="B219" s="82" t="s">
        <v>226</v>
      </c>
      <c r="C219" s="98" t="s">
        <v>225</v>
      </c>
      <c r="D219" s="41">
        <f>8853.6+109.8</f>
        <v>8963.4</v>
      </c>
      <c r="E219" s="41">
        <f>7316.2+109.8</f>
        <v>7426</v>
      </c>
      <c r="F219" s="41">
        <f>7316.2+109.8</f>
        <v>7426</v>
      </c>
      <c r="G219" s="103"/>
    </row>
    <row r="220" spans="1:7" ht="63.75">
      <c r="A220" s="21" t="s">
        <v>474</v>
      </c>
      <c r="B220" s="82"/>
      <c r="C220" s="98" t="s">
        <v>473</v>
      </c>
      <c r="D220" s="41">
        <f t="shared" ref="D220:F221" si="59">D221</f>
        <v>1283.7</v>
      </c>
      <c r="E220" s="41">
        <f t="shared" si="59"/>
        <v>0</v>
      </c>
      <c r="F220" s="41">
        <f t="shared" si="59"/>
        <v>0</v>
      </c>
      <c r="G220" s="103"/>
    </row>
    <row r="221" spans="1:7" ht="53.25" customHeight="1">
      <c r="A221" s="74">
        <v>230321210</v>
      </c>
      <c r="B221" s="82"/>
      <c r="C221" s="98" t="s">
        <v>472</v>
      </c>
      <c r="D221" s="41">
        <f t="shared" si="59"/>
        <v>1283.7</v>
      </c>
      <c r="E221" s="41">
        <f t="shared" si="59"/>
        <v>0</v>
      </c>
      <c r="F221" s="41">
        <f t="shared" si="59"/>
        <v>0</v>
      </c>
      <c r="G221" s="103"/>
    </row>
    <row r="222" spans="1:7">
      <c r="A222" s="74">
        <v>230321210</v>
      </c>
      <c r="B222" s="21" t="s">
        <v>226</v>
      </c>
      <c r="C222" s="98" t="s">
        <v>225</v>
      </c>
      <c r="D222" s="41">
        <v>1283.7</v>
      </c>
      <c r="E222" s="41">
        <v>0</v>
      </c>
      <c r="F222" s="41">
        <v>0</v>
      </c>
      <c r="G222" s="103"/>
    </row>
    <row r="223" spans="1:7">
      <c r="A223" s="52" t="s">
        <v>32</v>
      </c>
      <c r="B223" s="21"/>
      <c r="C223" s="66" t="s">
        <v>47</v>
      </c>
      <c r="D223" s="58">
        <f>D224</f>
        <v>3403.5</v>
      </c>
      <c r="E223" s="58">
        <f>E224</f>
        <v>3151</v>
      </c>
      <c r="F223" s="58">
        <f>F224</f>
        <v>3151</v>
      </c>
      <c r="G223" s="103"/>
    </row>
    <row r="224" spans="1:7" ht="63.75">
      <c r="A224" s="80">
        <v>290022200</v>
      </c>
      <c r="B224" s="21"/>
      <c r="C224" s="98" t="s">
        <v>264</v>
      </c>
      <c r="D224" s="94">
        <f>SUM(D225:D226)</f>
        <v>3403.5</v>
      </c>
      <c r="E224" s="94">
        <f>SUM(E225:E226)</f>
        <v>3151</v>
      </c>
      <c r="F224" s="94">
        <f>SUM(F225:F226)</f>
        <v>3151</v>
      </c>
      <c r="G224" s="103"/>
    </row>
    <row r="225" spans="1:7" ht="25.5">
      <c r="A225" s="80">
        <v>290022200</v>
      </c>
      <c r="B225" s="16" t="s">
        <v>63</v>
      </c>
      <c r="C225" s="55" t="s">
        <v>64</v>
      </c>
      <c r="D225" s="94">
        <f>3035.4+300.6</f>
        <v>3336</v>
      </c>
      <c r="E225" s="94">
        <f>2788.9+300.6</f>
        <v>3089.5</v>
      </c>
      <c r="F225" s="94">
        <f>2788.9+300.6</f>
        <v>3089.5</v>
      </c>
      <c r="G225" s="103"/>
    </row>
    <row r="226" spans="1:7" ht="38.25">
      <c r="A226" s="80">
        <v>290022200</v>
      </c>
      <c r="B226" s="82" t="s">
        <v>212</v>
      </c>
      <c r="C226" s="98" t="s">
        <v>213</v>
      </c>
      <c r="D226" s="41">
        <v>67.5</v>
      </c>
      <c r="E226" s="41">
        <v>61.5</v>
      </c>
      <c r="F226" s="41">
        <v>61.5</v>
      </c>
      <c r="G226" s="103"/>
    </row>
    <row r="227" spans="1:7" ht="77.25" customHeight="1">
      <c r="A227" s="73" t="s">
        <v>70</v>
      </c>
      <c r="B227" s="16"/>
      <c r="C227" s="143" t="s">
        <v>615</v>
      </c>
      <c r="D227" s="96">
        <f>D228+D240</f>
        <v>31857.9</v>
      </c>
      <c r="E227" s="96">
        <f>E228+E240</f>
        <v>9623.5</v>
      </c>
      <c r="F227" s="96">
        <f>F228+F240</f>
        <v>10276.1</v>
      </c>
    </row>
    <row r="228" spans="1:7" ht="25.5">
      <c r="A228" s="52" t="s">
        <v>71</v>
      </c>
      <c r="B228" s="16"/>
      <c r="C228" s="48" t="s">
        <v>158</v>
      </c>
      <c r="D228" s="93">
        <f>D229+D232</f>
        <v>27463.200000000001</v>
      </c>
      <c r="E228" s="93">
        <f>E229+E232</f>
        <v>7940</v>
      </c>
      <c r="F228" s="93">
        <f>F229+F232</f>
        <v>7940</v>
      </c>
    </row>
    <row r="229" spans="1:7" ht="38.25">
      <c r="A229" s="21" t="s">
        <v>245</v>
      </c>
      <c r="B229" s="16"/>
      <c r="C229" s="99" t="s">
        <v>246</v>
      </c>
      <c r="D229" s="39">
        <f t="shared" ref="D229:F230" si="60">D230</f>
        <v>261</v>
      </c>
      <c r="E229" s="39">
        <f t="shared" si="60"/>
        <v>250</v>
      </c>
      <c r="F229" s="39">
        <f t="shared" si="60"/>
        <v>250</v>
      </c>
    </row>
    <row r="230" spans="1:7" ht="38.25">
      <c r="A230" s="82" t="s">
        <v>475</v>
      </c>
      <c r="B230" s="16"/>
      <c r="C230" s="97" t="s">
        <v>159</v>
      </c>
      <c r="D230" s="41">
        <f t="shared" si="60"/>
        <v>261</v>
      </c>
      <c r="E230" s="41">
        <f t="shared" si="60"/>
        <v>250</v>
      </c>
      <c r="F230" s="41">
        <f t="shared" si="60"/>
        <v>250</v>
      </c>
    </row>
    <row r="231" spans="1:7" ht="38.25">
      <c r="A231" s="82" t="s">
        <v>475</v>
      </c>
      <c r="B231" s="82" t="s">
        <v>212</v>
      </c>
      <c r="C231" s="98" t="s">
        <v>213</v>
      </c>
      <c r="D231" s="41">
        <f>250+40-29</f>
        <v>261</v>
      </c>
      <c r="E231" s="41">
        <v>250</v>
      </c>
      <c r="F231" s="41">
        <v>250</v>
      </c>
    </row>
    <row r="232" spans="1:7" ht="51.75" customHeight="1">
      <c r="A232" s="21" t="s">
        <v>247</v>
      </c>
      <c r="B232" s="82"/>
      <c r="C232" s="99" t="s">
        <v>248</v>
      </c>
      <c r="D232" s="41">
        <f>D233+D235+D237</f>
        <v>27202.2</v>
      </c>
      <c r="E232" s="41">
        <f>E233+E235+E237</f>
        <v>7690</v>
      </c>
      <c r="F232" s="41">
        <f>F233+F235+F237</f>
        <v>7690</v>
      </c>
    </row>
    <row r="233" spans="1:7" ht="51">
      <c r="A233" s="136" t="s">
        <v>476</v>
      </c>
      <c r="B233" s="16"/>
      <c r="C233" s="97" t="s">
        <v>160</v>
      </c>
      <c r="D233" s="41">
        <f>D234</f>
        <v>211</v>
      </c>
      <c r="E233" s="41">
        <f>E234</f>
        <v>100</v>
      </c>
      <c r="F233" s="41">
        <f>F234</f>
        <v>100</v>
      </c>
    </row>
    <row r="234" spans="1:7" ht="38.25">
      <c r="A234" s="136" t="s">
        <v>476</v>
      </c>
      <c r="B234" s="82" t="s">
        <v>212</v>
      </c>
      <c r="C234" s="98" t="s">
        <v>213</v>
      </c>
      <c r="D234" s="41">
        <f>100+29+42+40</f>
        <v>211</v>
      </c>
      <c r="E234" s="41">
        <v>100</v>
      </c>
      <c r="F234" s="41">
        <v>100</v>
      </c>
    </row>
    <row r="235" spans="1:7" ht="76.5">
      <c r="A235" s="136" t="s">
        <v>477</v>
      </c>
      <c r="B235" s="16"/>
      <c r="C235" s="97" t="s">
        <v>161</v>
      </c>
      <c r="D235" s="41">
        <f>D236</f>
        <v>324.8</v>
      </c>
      <c r="E235" s="41">
        <f>E236</f>
        <v>100</v>
      </c>
      <c r="F235" s="41">
        <f>F236</f>
        <v>100</v>
      </c>
    </row>
    <row r="236" spans="1:7" ht="38.25">
      <c r="A236" s="136" t="s">
        <v>477</v>
      </c>
      <c r="B236" s="82" t="s">
        <v>212</v>
      </c>
      <c r="C236" s="98" t="s">
        <v>213</v>
      </c>
      <c r="D236" s="41">
        <f>330-5.2</f>
        <v>324.8</v>
      </c>
      <c r="E236" s="41">
        <v>100</v>
      </c>
      <c r="F236" s="41">
        <v>100</v>
      </c>
    </row>
    <row r="237" spans="1:7" ht="38.25">
      <c r="A237" s="74">
        <v>310223174</v>
      </c>
      <c r="B237" s="16"/>
      <c r="C237" s="97" t="s">
        <v>162</v>
      </c>
      <c r="D237" s="41">
        <f>SUM(D238:D239)</f>
        <v>26666.400000000001</v>
      </c>
      <c r="E237" s="41">
        <f>SUM(E238:E239)</f>
        <v>7490</v>
      </c>
      <c r="F237" s="41">
        <f>SUM(F238:F239)</f>
        <v>7490</v>
      </c>
    </row>
    <row r="238" spans="1:7" ht="38.25">
      <c r="A238" s="74">
        <v>310223174</v>
      </c>
      <c r="B238" s="82" t="s">
        <v>212</v>
      </c>
      <c r="C238" s="98" t="s">
        <v>213</v>
      </c>
      <c r="D238" s="41">
        <f>9373.3+1497.8+15466.2+97.4+222.5-36.8-40</f>
        <v>26580.400000000001</v>
      </c>
      <c r="E238" s="41">
        <v>7490</v>
      </c>
      <c r="F238" s="41">
        <v>7490</v>
      </c>
    </row>
    <row r="239" spans="1:7">
      <c r="A239" s="74">
        <v>310223174</v>
      </c>
      <c r="B239" s="82" t="s">
        <v>132</v>
      </c>
      <c r="C239" s="98" t="s">
        <v>133</v>
      </c>
      <c r="D239" s="41">
        <f>16.3+40.4+29.3</f>
        <v>86</v>
      </c>
      <c r="E239" s="41">
        <v>0</v>
      </c>
      <c r="F239" s="41">
        <v>0</v>
      </c>
    </row>
    <row r="240" spans="1:7" ht="38.25">
      <c r="A240" s="52" t="s">
        <v>164</v>
      </c>
      <c r="B240" s="16"/>
      <c r="C240" s="48" t="s">
        <v>163</v>
      </c>
      <c r="D240" s="93">
        <f>D241+D245</f>
        <v>4394.7</v>
      </c>
      <c r="E240" s="93">
        <f>E241+E245</f>
        <v>1683.5</v>
      </c>
      <c r="F240" s="93">
        <f>F241+F245</f>
        <v>2336.1</v>
      </c>
    </row>
    <row r="241" spans="1:6" ht="63.75">
      <c r="A241" s="21" t="s">
        <v>249</v>
      </c>
      <c r="B241" s="16"/>
      <c r="C241" s="99" t="s">
        <v>313</v>
      </c>
      <c r="D241" s="41">
        <f t="shared" ref="D241:F241" si="61">D242</f>
        <v>180.5</v>
      </c>
      <c r="E241" s="41">
        <f t="shared" si="61"/>
        <v>147.5</v>
      </c>
      <c r="F241" s="41">
        <f t="shared" si="61"/>
        <v>140.19999999999999</v>
      </c>
    </row>
    <row r="242" spans="1:6" ht="51">
      <c r="A242" s="21" t="s">
        <v>478</v>
      </c>
      <c r="B242" s="30"/>
      <c r="C242" s="97" t="s">
        <v>165</v>
      </c>
      <c r="D242" s="41">
        <f>SUM(D243:D244)</f>
        <v>180.5</v>
      </c>
      <c r="E242" s="41">
        <f t="shared" ref="E242:F242" si="62">SUM(E243:E244)</f>
        <v>147.5</v>
      </c>
      <c r="F242" s="41">
        <f t="shared" si="62"/>
        <v>140.19999999999999</v>
      </c>
    </row>
    <row r="243" spans="1:6" ht="38.25">
      <c r="A243" s="21" t="s">
        <v>478</v>
      </c>
      <c r="B243" s="82" t="s">
        <v>212</v>
      </c>
      <c r="C243" s="98" t="s">
        <v>213</v>
      </c>
      <c r="D243" s="39">
        <f>164+1.1</f>
        <v>165.1</v>
      </c>
      <c r="E243" s="39">
        <f>164-16.5</f>
        <v>147.5</v>
      </c>
      <c r="F243" s="39">
        <f>164-23.8</f>
        <v>140.19999999999999</v>
      </c>
    </row>
    <row r="244" spans="1:6">
      <c r="A244" s="21" t="s">
        <v>478</v>
      </c>
      <c r="B244" s="82" t="s">
        <v>716</v>
      </c>
      <c r="C244" s="98" t="s">
        <v>717</v>
      </c>
      <c r="D244" s="41">
        <v>15.4</v>
      </c>
      <c r="E244" s="39">
        <v>0</v>
      </c>
      <c r="F244" s="39">
        <v>0</v>
      </c>
    </row>
    <row r="245" spans="1:6" ht="25.5">
      <c r="A245" s="21" t="s">
        <v>347</v>
      </c>
      <c r="B245" s="82"/>
      <c r="C245" s="99" t="s">
        <v>343</v>
      </c>
      <c r="D245" s="41">
        <f>D246+D248+D250</f>
        <v>4214.2</v>
      </c>
      <c r="E245" s="41">
        <f t="shared" ref="E245:F245" si="63">E246+E248+E250</f>
        <v>1536</v>
      </c>
      <c r="F245" s="41">
        <f t="shared" si="63"/>
        <v>2195.9</v>
      </c>
    </row>
    <row r="246" spans="1:6" ht="38.25">
      <c r="A246" s="82" t="s">
        <v>479</v>
      </c>
      <c r="B246" s="30"/>
      <c r="C246" s="97" t="s">
        <v>168</v>
      </c>
      <c r="D246" s="41">
        <f>D247</f>
        <v>27.9</v>
      </c>
      <c r="E246" s="41">
        <f t="shared" ref="E246:F246" si="64">E247</f>
        <v>36</v>
      </c>
      <c r="F246" s="41">
        <f t="shared" si="64"/>
        <v>36</v>
      </c>
    </row>
    <row r="247" spans="1:6" ht="38.25">
      <c r="A247" s="82" t="s">
        <v>479</v>
      </c>
      <c r="B247" s="82" t="s">
        <v>212</v>
      </c>
      <c r="C247" s="98" t="s">
        <v>213</v>
      </c>
      <c r="D247" s="41">
        <f>36-8.1</f>
        <v>27.9</v>
      </c>
      <c r="E247" s="41">
        <v>36</v>
      </c>
      <c r="F247" s="41">
        <v>36</v>
      </c>
    </row>
    <row r="248" spans="1:6" ht="54" customHeight="1">
      <c r="A248" s="82" t="s">
        <v>655</v>
      </c>
      <c r="B248" s="82"/>
      <c r="C248" s="98" t="s">
        <v>659</v>
      </c>
      <c r="D248" s="41">
        <f>D249</f>
        <v>213.3</v>
      </c>
      <c r="E248" s="41">
        <f t="shared" ref="E248:F248" si="65">E249</f>
        <v>0</v>
      </c>
      <c r="F248" s="41">
        <f t="shared" si="65"/>
        <v>0</v>
      </c>
    </row>
    <row r="249" spans="1:6" ht="38.25">
      <c r="A249" s="82" t="s">
        <v>655</v>
      </c>
      <c r="B249" s="82" t="s">
        <v>212</v>
      </c>
      <c r="C249" s="98" t="s">
        <v>213</v>
      </c>
      <c r="D249" s="41">
        <f>250-43.7+7</f>
        <v>213.3</v>
      </c>
      <c r="E249" s="41">
        <v>0</v>
      </c>
      <c r="F249" s="41">
        <v>0</v>
      </c>
    </row>
    <row r="250" spans="1:6" ht="27" customHeight="1">
      <c r="A250" s="21" t="s">
        <v>674</v>
      </c>
      <c r="B250" s="16"/>
      <c r="C250" s="99" t="s">
        <v>737</v>
      </c>
      <c r="D250" s="39">
        <f>D251</f>
        <v>3973</v>
      </c>
      <c r="E250" s="39">
        <f t="shared" ref="E250:F250" si="66">E251</f>
        <v>1500</v>
      </c>
      <c r="F250" s="39">
        <f t="shared" si="66"/>
        <v>2159.9</v>
      </c>
    </row>
    <row r="251" spans="1:6" ht="38.25">
      <c r="A251" s="21" t="s">
        <v>674</v>
      </c>
      <c r="B251" s="82" t="s">
        <v>212</v>
      </c>
      <c r="C251" s="98" t="s">
        <v>213</v>
      </c>
      <c r="D251" s="39">
        <f>43.7+3929.3</f>
        <v>3973</v>
      </c>
      <c r="E251" s="39">
        <f>16.5+1483.5</f>
        <v>1500</v>
      </c>
      <c r="F251" s="39">
        <f>23.8+2136.1</f>
        <v>2159.9</v>
      </c>
    </row>
    <row r="252" spans="1:6" ht="75.75" customHeight="1">
      <c r="A252" s="76">
        <v>400000000</v>
      </c>
      <c r="B252" s="30"/>
      <c r="C252" s="142" t="s">
        <v>614</v>
      </c>
      <c r="D252" s="96">
        <f>D253+D275+D288</f>
        <v>23511.5</v>
      </c>
      <c r="E252" s="96">
        <f>E253+E275+E288</f>
        <v>10399.1</v>
      </c>
      <c r="F252" s="96">
        <f>F253+F275+F288</f>
        <v>11727.6</v>
      </c>
    </row>
    <row r="253" spans="1:6" ht="51">
      <c r="A253" s="75">
        <v>410000000</v>
      </c>
      <c r="B253" s="30"/>
      <c r="C253" s="46" t="s">
        <v>480</v>
      </c>
      <c r="D253" s="93">
        <f>D254+D257+D264</f>
        <v>2436.4</v>
      </c>
      <c r="E253" s="93">
        <f>E254+E257+E264</f>
        <v>1533</v>
      </c>
      <c r="F253" s="93">
        <f>F254+F257+F264</f>
        <v>1533</v>
      </c>
    </row>
    <row r="254" spans="1:6" ht="38.25">
      <c r="A254" s="74">
        <v>410100000</v>
      </c>
      <c r="B254" s="30"/>
      <c r="C254" s="97" t="s">
        <v>481</v>
      </c>
      <c r="D254" s="93">
        <f t="shared" ref="D254:F255" si="67">D255</f>
        <v>1048.8</v>
      </c>
      <c r="E254" s="93">
        <f t="shared" si="67"/>
        <v>63</v>
      </c>
      <c r="F254" s="93">
        <f t="shared" si="67"/>
        <v>63</v>
      </c>
    </row>
    <row r="255" spans="1:6" ht="25.5">
      <c r="A255" s="136" t="s">
        <v>696</v>
      </c>
      <c r="B255" s="16"/>
      <c r="C255" s="99" t="s">
        <v>170</v>
      </c>
      <c r="D255" s="39">
        <f t="shared" si="67"/>
        <v>1048.8</v>
      </c>
      <c r="E255" s="39">
        <f t="shared" si="67"/>
        <v>63</v>
      </c>
      <c r="F255" s="39">
        <f t="shared" si="67"/>
        <v>63</v>
      </c>
    </row>
    <row r="256" spans="1:6" ht="38.25">
      <c r="A256" s="136" t="s">
        <v>696</v>
      </c>
      <c r="B256" s="82" t="s">
        <v>212</v>
      </c>
      <c r="C256" s="98" t="s">
        <v>213</v>
      </c>
      <c r="D256" s="39">
        <f>1382.3-333.5</f>
        <v>1048.8</v>
      </c>
      <c r="E256" s="39">
        <v>63</v>
      </c>
      <c r="F256" s="39">
        <v>63</v>
      </c>
    </row>
    <row r="257" spans="1:6" ht="51">
      <c r="A257" s="74">
        <v>410200000</v>
      </c>
      <c r="B257" s="30"/>
      <c r="C257" s="97" t="s">
        <v>485</v>
      </c>
      <c r="D257" s="39">
        <f>D258+D260+D262</f>
        <v>187.7</v>
      </c>
      <c r="E257" s="39">
        <f>E258+E260+E262</f>
        <v>70</v>
      </c>
      <c r="F257" s="39">
        <f>F258+F260+F262</f>
        <v>70</v>
      </c>
    </row>
    <row r="258" spans="1:6" ht="68.25" customHeight="1">
      <c r="A258" s="136" t="s">
        <v>690</v>
      </c>
      <c r="B258" s="82"/>
      <c r="C258" s="98" t="s">
        <v>634</v>
      </c>
      <c r="D258" s="39">
        <f t="shared" ref="D258:F258" si="68">D259</f>
        <v>75.2</v>
      </c>
      <c r="E258" s="39">
        <f t="shared" si="68"/>
        <v>50</v>
      </c>
      <c r="F258" s="39">
        <f t="shared" si="68"/>
        <v>50</v>
      </c>
    </row>
    <row r="259" spans="1:6" ht="38.25">
      <c r="A259" s="136" t="s">
        <v>690</v>
      </c>
      <c r="B259" s="82" t="s">
        <v>212</v>
      </c>
      <c r="C259" s="98" t="s">
        <v>213</v>
      </c>
      <c r="D259" s="39">
        <f>50+5+20.2</f>
        <v>75.2</v>
      </c>
      <c r="E259" s="39">
        <v>50</v>
      </c>
      <c r="F259" s="39">
        <v>50</v>
      </c>
    </row>
    <row r="260" spans="1:6" ht="27" customHeight="1">
      <c r="A260" s="136" t="s">
        <v>689</v>
      </c>
      <c r="B260" s="82"/>
      <c r="C260" s="98" t="s">
        <v>483</v>
      </c>
      <c r="D260" s="39">
        <f>D261</f>
        <v>30</v>
      </c>
      <c r="E260" s="39">
        <f>E261</f>
        <v>20</v>
      </c>
      <c r="F260" s="39">
        <f>F261</f>
        <v>20</v>
      </c>
    </row>
    <row r="261" spans="1:6" ht="38.25">
      <c r="A261" s="136" t="s">
        <v>689</v>
      </c>
      <c r="B261" s="82" t="s">
        <v>212</v>
      </c>
      <c r="C261" s="98" t="s">
        <v>213</v>
      </c>
      <c r="D261" s="39">
        <v>30</v>
      </c>
      <c r="E261" s="39">
        <v>20</v>
      </c>
      <c r="F261" s="39">
        <v>20</v>
      </c>
    </row>
    <row r="262" spans="1:6" ht="38.25">
      <c r="A262" s="136" t="s">
        <v>688</v>
      </c>
      <c r="B262" s="82"/>
      <c r="C262" s="98" t="s">
        <v>635</v>
      </c>
      <c r="D262" s="39">
        <f>D263</f>
        <v>82.5</v>
      </c>
      <c r="E262" s="39">
        <f t="shared" ref="E262:F262" si="69">E263</f>
        <v>0</v>
      </c>
      <c r="F262" s="39">
        <f t="shared" si="69"/>
        <v>0</v>
      </c>
    </row>
    <row r="263" spans="1:6" ht="38.25">
      <c r="A263" s="136" t="s">
        <v>688</v>
      </c>
      <c r="B263" s="82" t="s">
        <v>212</v>
      </c>
      <c r="C263" s="98" t="s">
        <v>213</v>
      </c>
      <c r="D263" s="39">
        <v>82.5</v>
      </c>
      <c r="E263" s="39">
        <v>0</v>
      </c>
      <c r="F263" s="39">
        <v>0</v>
      </c>
    </row>
    <row r="264" spans="1:6" ht="38.25">
      <c r="A264" s="136" t="s">
        <v>487</v>
      </c>
      <c r="B264" s="82"/>
      <c r="C264" s="97" t="s">
        <v>486</v>
      </c>
      <c r="D264" s="39">
        <f>D265+D267+D269+D271+D273</f>
        <v>1199.9000000000001</v>
      </c>
      <c r="E264" s="39">
        <f t="shared" ref="E264:F264" si="70">E265+E267+E269+E271+E273</f>
        <v>1400</v>
      </c>
      <c r="F264" s="39">
        <f t="shared" si="70"/>
        <v>1400</v>
      </c>
    </row>
    <row r="265" spans="1:6" ht="52.5" customHeight="1">
      <c r="A265" s="136" t="s">
        <v>691</v>
      </c>
      <c r="B265" s="82"/>
      <c r="C265" s="98" t="s">
        <v>636</v>
      </c>
      <c r="D265" s="39">
        <f>D266</f>
        <v>150</v>
      </c>
      <c r="E265" s="39">
        <f t="shared" ref="E265:F265" si="71">E266</f>
        <v>100</v>
      </c>
      <c r="F265" s="39">
        <f t="shared" si="71"/>
        <v>100</v>
      </c>
    </row>
    <row r="266" spans="1:6" ht="63.75">
      <c r="A266" s="136" t="s">
        <v>691</v>
      </c>
      <c r="B266" s="16" t="s">
        <v>12</v>
      </c>
      <c r="C266" s="98" t="s">
        <v>372</v>
      </c>
      <c r="D266" s="39">
        <v>150</v>
      </c>
      <c r="E266" s="39">
        <v>100</v>
      </c>
      <c r="F266" s="39">
        <v>100</v>
      </c>
    </row>
    <row r="267" spans="1:6" ht="61.5" customHeight="1">
      <c r="A267" s="136" t="s">
        <v>692</v>
      </c>
      <c r="B267" s="82"/>
      <c r="C267" s="98" t="s">
        <v>488</v>
      </c>
      <c r="D267" s="39">
        <f>D268</f>
        <v>0</v>
      </c>
      <c r="E267" s="39">
        <f t="shared" ref="E267:F267" si="72">E268</f>
        <v>500</v>
      </c>
      <c r="F267" s="39">
        <f t="shared" si="72"/>
        <v>500</v>
      </c>
    </row>
    <row r="268" spans="1:6" ht="63.75">
      <c r="A268" s="136" t="s">
        <v>692</v>
      </c>
      <c r="B268" s="16" t="s">
        <v>12</v>
      </c>
      <c r="C268" s="98" t="s">
        <v>372</v>
      </c>
      <c r="D268" s="39">
        <f>1000-500-500</f>
        <v>0</v>
      </c>
      <c r="E268" s="39">
        <v>500</v>
      </c>
      <c r="F268" s="39">
        <v>500</v>
      </c>
    </row>
    <row r="269" spans="1:6" ht="88.5" customHeight="1">
      <c r="A269" s="136" t="s">
        <v>693</v>
      </c>
      <c r="B269" s="82"/>
      <c r="C269" s="98" t="s">
        <v>489</v>
      </c>
      <c r="D269" s="39">
        <f>D270</f>
        <v>80</v>
      </c>
      <c r="E269" s="39">
        <f t="shared" ref="E269:F269" si="73">E270</f>
        <v>100</v>
      </c>
      <c r="F269" s="39">
        <f t="shared" si="73"/>
        <v>100</v>
      </c>
    </row>
    <row r="270" spans="1:6" ht="63.75">
      <c r="A270" s="136" t="s">
        <v>693</v>
      </c>
      <c r="B270" s="16" t="s">
        <v>12</v>
      </c>
      <c r="C270" s="98" t="s">
        <v>372</v>
      </c>
      <c r="D270" s="39">
        <v>80</v>
      </c>
      <c r="E270" s="39">
        <v>100</v>
      </c>
      <c r="F270" s="39">
        <v>100</v>
      </c>
    </row>
    <row r="271" spans="1:6" ht="81" customHeight="1">
      <c r="A271" s="136" t="s">
        <v>694</v>
      </c>
      <c r="B271" s="82"/>
      <c r="C271" s="98" t="s">
        <v>490</v>
      </c>
      <c r="D271" s="39">
        <f>D272</f>
        <v>700</v>
      </c>
      <c r="E271" s="39">
        <f t="shared" ref="E271:F271" si="74">E272</f>
        <v>700</v>
      </c>
      <c r="F271" s="39">
        <f t="shared" si="74"/>
        <v>700</v>
      </c>
    </row>
    <row r="272" spans="1:6" ht="63.75">
      <c r="A272" s="136" t="s">
        <v>694</v>
      </c>
      <c r="B272" s="16" t="s">
        <v>12</v>
      </c>
      <c r="C272" s="98" t="s">
        <v>372</v>
      </c>
      <c r="D272" s="39">
        <v>700</v>
      </c>
      <c r="E272" s="39">
        <v>700</v>
      </c>
      <c r="F272" s="39">
        <v>700</v>
      </c>
    </row>
    <row r="273" spans="1:6" ht="80.25" customHeight="1">
      <c r="A273" s="136" t="s">
        <v>695</v>
      </c>
      <c r="B273" s="16"/>
      <c r="C273" s="98" t="s">
        <v>637</v>
      </c>
      <c r="D273" s="39">
        <f>D274</f>
        <v>269.89999999999998</v>
      </c>
      <c r="E273" s="39">
        <f t="shared" ref="E273:F273" si="75">E274</f>
        <v>0</v>
      </c>
      <c r="F273" s="39">
        <f t="shared" si="75"/>
        <v>0</v>
      </c>
    </row>
    <row r="274" spans="1:6" ht="63.75">
      <c r="A274" s="136" t="s">
        <v>695</v>
      </c>
      <c r="B274" s="16" t="s">
        <v>12</v>
      </c>
      <c r="C274" s="98" t="s">
        <v>372</v>
      </c>
      <c r="D274" s="39">
        <f>356-86.1</f>
        <v>269.89999999999998</v>
      </c>
      <c r="E274" s="39">
        <v>0</v>
      </c>
      <c r="F274" s="39">
        <v>0</v>
      </c>
    </row>
    <row r="275" spans="1:6" ht="51">
      <c r="A275" s="75">
        <v>420000000</v>
      </c>
      <c r="B275" s="30"/>
      <c r="C275" s="46" t="s">
        <v>233</v>
      </c>
      <c r="D275" s="93">
        <f>D276+D283</f>
        <v>3836.5</v>
      </c>
      <c r="E275" s="93">
        <f>E276+E283</f>
        <v>3536.5</v>
      </c>
      <c r="F275" s="93">
        <f>F276+F283</f>
        <v>3536.5</v>
      </c>
    </row>
    <row r="276" spans="1:6" ht="102">
      <c r="A276" s="74">
        <v>420100000</v>
      </c>
      <c r="B276" s="16"/>
      <c r="C276" s="97" t="s">
        <v>491</v>
      </c>
      <c r="D276" s="41">
        <f>D277+D279+D281</f>
        <v>2824.4</v>
      </c>
      <c r="E276" s="41">
        <f>E277+E279+E281</f>
        <v>2524.4</v>
      </c>
      <c r="F276" s="41">
        <f>F277+F279+F281</f>
        <v>2524.4</v>
      </c>
    </row>
    <row r="277" spans="1:6" ht="38.25">
      <c r="A277" s="74" t="s">
        <v>492</v>
      </c>
      <c r="B277" s="16"/>
      <c r="C277" s="98" t="s">
        <v>359</v>
      </c>
      <c r="D277" s="41">
        <f>D278</f>
        <v>600</v>
      </c>
      <c r="E277" s="41">
        <f t="shared" ref="E277:F277" si="76">E278</f>
        <v>300</v>
      </c>
      <c r="F277" s="41">
        <f t="shared" si="76"/>
        <v>300</v>
      </c>
    </row>
    <row r="278" spans="1:6" ht="63.75">
      <c r="A278" s="74" t="s">
        <v>492</v>
      </c>
      <c r="B278" s="16" t="s">
        <v>19</v>
      </c>
      <c r="C278" s="99" t="s">
        <v>367</v>
      </c>
      <c r="D278" s="41">
        <v>600</v>
      </c>
      <c r="E278" s="41">
        <v>300</v>
      </c>
      <c r="F278" s="41">
        <v>300</v>
      </c>
    </row>
    <row r="279" spans="1:6" ht="66" customHeight="1">
      <c r="A279" s="74">
        <v>420123230</v>
      </c>
      <c r="B279" s="16"/>
      <c r="C279" s="99" t="s">
        <v>764</v>
      </c>
      <c r="D279" s="41">
        <f>D280</f>
        <v>1300</v>
      </c>
      <c r="E279" s="41">
        <f t="shared" ref="E279:F279" si="77">E280</f>
        <v>1300</v>
      </c>
      <c r="F279" s="41">
        <f t="shared" si="77"/>
        <v>1300</v>
      </c>
    </row>
    <row r="280" spans="1:6" ht="38.25">
      <c r="A280" s="74">
        <v>420123230</v>
      </c>
      <c r="B280" s="82" t="s">
        <v>212</v>
      </c>
      <c r="C280" s="98" t="s">
        <v>213</v>
      </c>
      <c r="D280" s="41">
        <f>1200+100</f>
        <v>1300</v>
      </c>
      <c r="E280" s="41">
        <v>1300</v>
      </c>
      <c r="F280" s="41">
        <v>1300</v>
      </c>
    </row>
    <row r="281" spans="1:6" ht="38.25">
      <c r="A281" s="74">
        <v>420110320</v>
      </c>
      <c r="B281" s="1"/>
      <c r="C281" s="135" t="s">
        <v>493</v>
      </c>
      <c r="D281" s="41">
        <f>D282</f>
        <v>924.4</v>
      </c>
      <c r="E281" s="41">
        <f t="shared" ref="E281:F281" si="78">E282</f>
        <v>924.4</v>
      </c>
      <c r="F281" s="41">
        <f t="shared" si="78"/>
        <v>924.4</v>
      </c>
    </row>
    <row r="282" spans="1:6" ht="63.75">
      <c r="A282" s="74">
        <v>420110320</v>
      </c>
      <c r="B282" s="16" t="s">
        <v>19</v>
      </c>
      <c r="C282" s="99" t="s">
        <v>367</v>
      </c>
      <c r="D282" s="41">
        <f>895.5+28.9</f>
        <v>924.4</v>
      </c>
      <c r="E282" s="41">
        <f t="shared" ref="E282:F282" si="79">895.5+28.9</f>
        <v>924.4</v>
      </c>
      <c r="F282" s="41">
        <f t="shared" si="79"/>
        <v>924.4</v>
      </c>
    </row>
    <row r="283" spans="1:6" ht="102" customHeight="1">
      <c r="A283" s="74">
        <v>420200000</v>
      </c>
      <c r="B283" s="16"/>
      <c r="C283" s="97" t="s">
        <v>494</v>
      </c>
      <c r="D283" s="41">
        <f>D284+D286</f>
        <v>1012.0999999999999</v>
      </c>
      <c r="E283" s="41">
        <f t="shared" ref="E283:F283" si="80">E284+E286</f>
        <v>1012.0999999999999</v>
      </c>
      <c r="F283" s="41">
        <f t="shared" si="80"/>
        <v>1012.0999999999999</v>
      </c>
    </row>
    <row r="284" spans="1:6" ht="63.75">
      <c r="A284" s="74">
        <v>420223235</v>
      </c>
      <c r="B284" s="30"/>
      <c r="C284" s="98" t="s">
        <v>765</v>
      </c>
      <c r="D284" s="41">
        <f>D285</f>
        <v>575.29999999999995</v>
      </c>
      <c r="E284" s="41">
        <f>E285</f>
        <v>575.29999999999995</v>
      </c>
      <c r="F284" s="41">
        <f>F285</f>
        <v>575.29999999999995</v>
      </c>
    </row>
    <row r="285" spans="1:6" ht="38.25">
      <c r="A285" s="74">
        <v>420223235</v>
      </c>
      <c r="B285" s="82" t="s">
        <v>212</v>
      </c>
      <c r="C285" s="98" t="s">
        <v>213</v>
      </c>
      <c r="D285" s="41">
        <v>575.29999999999995</v>
      </c>
      <c r="E285" s="41">
        <v>575.29999999999995</v>
      </c>
      <c r="F285" s="41">
        <v>575.29999999999995</v>
      </c>
    </row>
    <row r="286" spans="1:6" ht="51">
      <c r="A286" s="74">
        <v>420223240</v>
      </c>
      <c r="B286" s="82"/>
      <c r="C286" s="98" t="s">
        <v>766</v>
      </c>
      <c r="D286" s="41">
        <f>D287</f>
        <v>436.8</v>
      </c>
      <c r="E286" s="41">
        <f t="shared" ref="E286:F286" si="81">E287</f>
        <v>436.8</v>
      </c>
      <c r="F286" s="41">
        <f t="shared" si="81"/>
        <v>436.8</v>
      </c>
    </row>
    <row r="287" spans="1:6" ht="38.25">
      <c r="A287" s="74">
        <v>420223240</v>
      </c>
      <c r="B287" s="82" t="s">
        <v>212</v>
      </c>
      <c r="C287" s="98" t="s">
        <v>213</v>
      </c>
      <c r="D287" s="41">
        <v>436.8</v>
      </c>
      <c r="E287" s="41">
        <v>436.8</v>
      </c>
      <c r="F287" s="41">
        <v>436.8</v>
      </c>
    </row>
    <row r="288" spans="1:6" ht="77.25" customHeight="1">
      <c r="A288" s="75">
        <v>430000000</v>
      </c>
      <c r="B288" s="16"/>
      <c r="C288" s="46" t="s">
        <v>723</v>
      </c>
      <c r="D288" s="39">
        <f>D289+D294</f>
        <v>17238.599999999999</v>
      </c>
      <c r="E288" s="39">
        <f>E289+E294</f>
        <v>5329.6</v>
      </c>
      <c r="F288" s="39">
        <f>F289+F294</f>
        <v>6658.1</v>
      </c>
    </row>
    <row r="289" spans="1:6" ht="51">
      <c r="A289" s="74">
        <v>430100000</v>
      </c>
      <c r="B289" s="30"/>
      <c r="C289" s="97" t="s">
        <v>234</v>
      </c>
      <c r="D289" s="39">
        <f>D290+D292</f>
        <v>1564.1</v>
      </c>
      <c r="E289" s="39">
        <f t="shared" ref="E289:F289" si="82">E290+E292</f>
        <v>1180.9000000000001</v>
      </c>
      <c r="F289" s="39">
        <f t="shared" si="82"/>
        <v>1180.9000000000001</v>
      </c>
    </row>
    <row r="290" spans="1:6" ht="102">
      <c r="A290" s="79">
        <v>430127310</v>
      </c>
      <c r="B290" s="16"/>
      <c r="C290" s="98" t="s">
        <v>633</v>
      </c>
      <c r="D290" s="41">
        <f>D291</f>
        <v>1418.5</v>
      </c>
      <c r="E290" s="41">
        <f>E291</f>
        <v>1000</v>
      </c>
      <c r="F290" s="41">
        <f>F291</f>
        <v>1000</v>
      </c>
    </row>
    <row r="291" spans="1:6" ht="63.75">
      <c r="A291" s="79">
        <v>430127310</v>
      </c>
      <c r="B291" s="16" t="s">
        <v>12</v>
      </c>
      <c r="C291" s="98" t="s">
        <v>324</v>
      </c>
      <c r="D291" s="41">
        <f>1000+339+79.5</f>
        <v>1418.5</v>
      </c>
      <c r="E291" s="41">
        <v>1000</v>
      </c>
      <c r="F291" s="41">
        <v>1000</v>
      </c>
    </row>
    <row r="292" spans="1:6" ht="102" customHeight="1">
      <c r="A292" s="79">
        <v>430127320</v>
      </c>
      <c r="B292" s="16"/>
      <c r="C292" s="98" t="s">
        <v>497</v>
      </c>
      <c r="D292" s="41">
        <f>D293</f>
        <v>145.60000000000002</v>
      </c>
      <c r="E292" s="41">
        <f t="shared" ref="E292:F292" si="83">E293</f>
        <v>180.9</v>
      </c>
      <c r="F292" s="41">
        <f t="shared" si="83"/>
        <v>180.9</v>
      </c>
    </row>
    <row r="293" spans="1:6" ht="63.75">
      <c r="A293" s="79">
        <v>430127320</v>
      </c>
      <c r="B293" s="16" t="s">
        <v>12</v>
      </c>
      <c r="C293" s="98" t="s">
        <v>324</v>
      </c>
      <c r="D293" s="41">
        <f>180.9-35.3</f>
        <v>145.60000000000002</v>
      </c>
      <c r="E293" s="41">
        <v>180.9</v>
      </c>
      <c r="F293" s="41">
        <v>180.9</v>
      </c>
    </row>
    <row r="294" spans="1:6" ht="38.25">
      <c r="A294" s="74">
        <v>430200000</v>
      </c>
      <c r="B294" s="82"/>
      <c r="C294" s="97" t="s">
        <v>296</v>
      </c>
      <c r="D294" s="41">
        <f>D295+D297+D299+D301+D303+D305</f>
        <v>15674.5</v>
      </c>
      <c r="E294" s="41">
        <f t="shared" ref="E294:F294" si="84">E295+E297+E299+E301+E303+E305</f>
        <v>4148.7</v>
      </c>
      <c r="F294" s="41">
        <f t="shared" si="84"/>
        <v>5477.2</v>
      </c>
    </row>
    <row r="295" spans="1:6" ht="102">
      <c r="A295" s="74">
        <v>430227340</v>
      </c>
      <c r="B295" s="16"/>
      <c r="C295" s="98" t="s">
        <v>651</v>
      </c>
      <c r="D295" s="39">
        <f>D296</f>
        <v>1540.3</v>
      </c>
      <c r="E295" s="39">
        <f t="shared" ref="E295:F295" si="85">E296</f>
        <v>1250</v>
      </c>
      <c r="F295" s="39">
        <f t="shared" si="85"/>
        <v>1720</v>
      </c>
    </row>
    <row r="296" spans="1:6" ht="63.75">
      <c r="A296" s="74">
        <v>430227340</v>
      </c>
      <c r="B296" s="16" t="s">
        <v>12</v>
      </c>
      <c r="C296" s="98" t="s">
        <v>324</v>
      </c>
      <c r="D296" s="39">
        <f>1720-80-99.7</f>
        <v>1540.3</v>
      </c>
      <c r="E296" s="39">
        <v>1250</v>
      </c>
      <c r="F296" s="39">
        <v>1720</v>
      </c>
    </row>
    <row r="297" spans="1:6" ht="114.75">
      <c r="A297" s="74">
        <v>430227350</v>
      </c>
      <c r="B297" s="16"/>
      <c r="C297" s="98" t="s">
        <v>638</v>
      </c>
      <c r="D297" s="39">
        <f>D298</f>
        <v>22.9</v>
      </c>
      <c r="E297" s="39">
        <f t="shared" ref="E297:F297" si="86">E298</f>
        <v>0</v>
      </c>
      <c r="F297" s="39">
        <f t="shared" si="86"/>
        <v>21.7</v>
      </c>
    </row>
    <row r="298" spans="1:6" ht="63.75">
      <c r="A298" s="74">
        <v>430227350</v>
      </c>
      <c r="B298" s="16" t="s">
        <v>12</v>
      </c>
      <c r="C298" s="98" t="s">
        <v>324</v>
      </c>
      <c r="D298" s="39">
        <f>21.7+1.2</f>
        <v>22.9</v>
      </c>
      <c r="E298" s="39">
        <v>0</v>
      </c>
      <c r="F298" s="39">
        <v>21.7</v>
      </c>
    </row>
    <row r="299" spans="1:6" ht="114.75">
      <c r="A299" s="74">
        <v>430227360</v>
      </c>
      <c r="B299" s="16"/>
      <c r="C299" s="98" t="s">
        <v>639</v>
      </c>
      <c r="D299" s="39">
        <f>D300</f>
        <v>5953.4000000000005</v>
      </c>
      <c r="E299" s="39">
        <f t="shared" ref="E299:F299" si="87">E300</f>
        <v>0</v>
      </c>
      <c r="F299" s="39">
        <f t="shared" si="87"/>
        <v>1661.6</v>
      </c>
    </row>
    <row r="300" spans="1:6" ht="63.75">
      <c r="A300" s="74">
        <v>430227360</v>
      </c>
      <c r="B300" s="16" t="s">
        <v>12</v>
      </c>
      <c r="C300" s="98" t="s">
        <v>324</v>
      </c>
      <c r="D300" s="39">
        <f>5227.7+586.1+300-160.4</f>
        <v>5953.4000000000005</v>
      </c>
      <c r="E300" s="39">
        <v>0</v>
      </c>
      <c r="F300" s="39">
        <v>1661.6</v>
      </c>
    </row>
    <row r="301" spans="1:6" ht="165.75">
      <c r="A301" s="74">
        <v>430227370</v>
      </c>
      <c r="B301" s="16"/>
      <c r="C301" s="98" t="s">
        <v>652</v>
      </c>
      <c r="D301" s="39">
        <f>D302</f>
        <v>642.09999999999991</v>
      </c>
      <c r="E301" s="39">
        <f t="shared" ref="E301:F301" si="88">E302</f>
        <v>0</v>
      </c>
      <c r="F301" s="39">
        <f t="shared" si="88"/>
        <v>1107.7</v>
      </c>
    </row>
    <row r="302" spans="1:6" ht="63.75">
      <c r="A302" s="74">
        <v>430227370</v>
      </c>
      <c r="B302" s="16" t="s">
        <v>12</v>
      </c>
      <c r="C302" s="98" t="s">
        <v>324</v>
      </c>
      <c r="D302" s="39">
        <f>1606.6-900-64.5</f>
        <v>642.09999999999991</v>
      </c>
      <c r="E302" s="39">
        <v>0</v>
      </c>
      <c r="F302" s="39">
        <v>1107.7</v>
      </c>
    </row>
    <row r="303" spans="1:6" ht="113.25" customHeight="1">
      <c r="A303" s="74">
        <v>430227390</v>
      </c>
      <c r="B303" s="16"/>
      <c r="C303" s="98" t="s">
        <v>720</v>
      </c>
      <c r="D303" s="39">
        <f>D304</f>
        <v>3115.8</v>
      </c>
      <c r="E303" s="39">
        <f t="shared" ref="E303:F303" si="89">E304</f>
        <v>2898.7</v>
      </c>
      <c r="F303" s="39">
        <f t="shared" si="89"/>
        <v>966.2</v>
      </c>
    </row>
    <row r="304" spans="1:6" ht="63.75">
      <c r="A304" s="74">
        <v>430227390</v>
      </c>
      <c r="B304" s="16" t="s">
        <v>12</v>
      </c>
      <c r="C304" s="98" t="s">
        <v>324</v>
      </c>
      <c r="D304" s="39">
        <v>3115.8</v>
      </c>
      <c r="E304" s="39">
        <v>2898.7</v>
      </c>
      <c r="F304" s="39">
        <v>966.2</v>
      </c>
    </row>
    <row r="305" spans="1:6" ht="102">
      <c r="A305" s="74">
        <v>430227400</v>
      </c>
      <c r="B305" s="16"/>
      <c r="C305" s="98" t="s">
        <v>759</v>
      </c>
      <c r="D305" s="39">
        <f>D306</f>
        <v>4400</v>
      </c>
      <c r="E305" s="39">
        <f t="shared" ref="E305:F305" si="90">E306</f>
        <v>0</v>
      </c>
      <c r="F305" s="39">
        <f t="shared" si="90"/>
        <v>0</v>
      </c>
    </row>
    <row r="306" spans="1:6" ht="63.75">
      <c r="A306" s="74">
        <v>430227400</v>
      </c>
      <c r="B306" s="16" t="s">
        <v>12</v>
      </c>
      <c r="C306" s="98" t="s">
        <v>324</v>
      </c>
      <c r="D306" s="39">
        <v>4400</v>
      </c>
      <c r="E306" s="39">
        <v>0</v>
      </c>
      <c r="F306" s="39">
        <v>0</v>
      </c>
    </row>
    <row r="307" spans="1:6" ht="75.75" customHeight="1">
      <c r="A307" s="73" t="s">
        <v>155</v>
      </c>
      <c r="B307" s="16"/>
      <c r="C307" s="142" t="s">
        <v>613</v>
      </c>
      <c r="D307" s="96">
        <f>D308+D316+D332</f>
        <v>9279.4</v>
      </c>
      <c r="E307" s="96">
        <f>E308+E316+E332</f>
        <v>6043.9</v>
      </c>
      <c r="F307" s="96">
        <f>F308+F316+F332</f>
        <v>6087.8</v>
      </c>
    </row>
    <row r="308" spans="1:6" ht="38.25">
      <c r="A308" s="52" t="s">
        <v>151</v>
      </c>
      <c r="B308" s="16"/>
      <c r="C308" s="48" t="s">
        <v>300</v>
      </c>
      <c r="D308" s="93">
        <f>D309+D313</f>
        <v>2195.5</v>
      </c>
      <c r="E308" s="93">
        <f t="shared" ref="E308:F308" si="91">E309+E313</f>
        <v>906.1</v>
      </c>
      <c r="F308" s="93">
        <f t="shared" si="91"/>
        <v>950</v>
      </c>
    </row>
    <row r="309" spans="1:6" ht="38.25">
      <c r="A309" s="21" t="s">
        <v>265</v>
      </c>
      <c r="B309" s="16"/>
      <c r="C309" s="99" t="s">
        <v>267</v>
      </c>
      <c r="D309" s="93">
        <f>D310</f>
        <v>1741.2</v>
      </c>
      <c r="E309" s="93">
        <f>E310</f>
        <v>150</v>
      </c>
      <c r="F309" s="93">
        <f>F310</f>
        <v>150</v>
      </c>
    </row>
    <row r="310" spans="1:6" ht="38.25">
      <c r="A310" s="137" t="s">
        <v>498</v>
      </c>
      <c r="B310" s="3"/>
      <c r="C310" s="98" t="s">
        <v>266</v>
      </c>
      <c r="D310" s="41">
        <f>SUM(D311:D312)</f>
        <v>1741.2</v>
      </c>
      <c r="E310" s="41">
        <f t="shared" ref="E310:F310" si="92">SUM(E311:E312)</f>
        <v>150</v>
      </c>
      <c r="F310" s="41">
        <f t="shared" si="92"/>
        <v>150</v>
      </c>
    </row>
    <row r="311" spans="1:6" ht="38.25">
      <c r="A311" s="137" t="s">
        <v>498</v>
      </c>
      <c r="B311" s="82" t="s">
        <v>212</v>
      </c>
      <c r="C311" s="98" t="s">
        <v>213</v>
      </c>
      <c r="D311" s="41">
        <f>100+853.3+72.8+2.5+693.5+7.2</f>
        <v>1729.3</v>
      </c>
      <c r="E311" s="41">
        <v>150</v>
      </c>
      <c r="F311" s="41">
        <v>150</v>
      </c>
    </row>
    <row r="312" spans="1:6">
      <c r="A312" s="137" t="s">
        <v>498</v>
      </c>
      <c r="B312" s="82" t="s">
        <v>716</v>
      </c>
      <c r="C312" s="98" t="s">
        <v>717</v>
      </c>
      <c r="D312" s="41">
        <f>7.6+4.3</f>
        <v>11.899999999999999</v>
      </c>
      <c r="E312" s="41">
        <v>0</v>
      </c>
      <c r="F312" s="41">
        <v>0</v>
      </c>
    </row>
    <row r="313" spans="1:6" ht="38.25">
      <c r="A313" s="21" t="s">
        <v>301</v>
      </c>
      <c r="B313" s="16"/>
      <c r="C313" s="99" t="s">
        <v>268</v>
      </c>
      <c r="D313" s="93">
        <f t="shared" ref="D313:F313" si="93">D314</f>
        <v>454.3</v>
      </c>
      <c r="E313" s="93">
        <f t="shared" si="93"/>
        <v>756.1</v>
      </c>
      <c r="F313" s="93">
        <f t="shared" si="93"/>
        <v>800</v>
      </c>
    </row>
    <row r="314" spans="1:6" ht="25.5">
      <c r="A314" s="21" t="s">
        <v>499</v>
      </c>
      <c r="B314" s="3"/>
      <c r="C314" s="98" t="s">
        <v>341</v>
      </c>
      <c r="D314" s="41">
        <f>D315</f>
        <v>454.3</v>
      </c>
      <c r="E314" s="41">
        <f>E315</f>
        <v>756.1</v>
      </c>
      <c r="F314" s="41">
        <f>F315</f>
        <v>800</v>
      </c>
    </row>
    <row r="315" spans="1:6" ht="38.25">
      <c r="A315" s="21" t="s">
        <v>499</v>
      </c>
      <c r="B315" s="82" t="s">
        <v>212</v>
      </c>
      <c r="C315" s="98" t="s">
        <v>213</v>
      </c>
      <c r="D315" s="39">
        <f>800-222.5-123.2</f>
        <v>454.3</v>
      </c>
      <c r="E315" s="39">
        <f>800-43.9</f>
        <v>756.1</v>
      </c>
      <c r="F315" s="39">
        <v>800</v>
      </c>
    </row>
    <row r="316" spans="1:6" ht="38.25">
      <c r="A316" s="52" t="s">
        <v>152</v>
      </c>
      <c r="B316" s="16"/>
      <c r="C316" s="48" t="s">
        <v>149</v>
      </c>
      <c r="D316" s="93">
        <f>D317+D324</f>
        <v>3549.5999999999995</v>
      </c>
      <c r="E316" s="93">
        <f t="shared" ref="E316:F316" si="94">E317+E324</f>
        <v>2223.6999999999998</v>
      </c>
      <c r="F316" s="93">
        <f t="shared" si="94"/>
        <v>1810</v>
      </c>
    </row>
    <row r="317" spans="1:6" ht="25.5">
      <c r="A317" s="21" t="s">
        <v>269</v>
      </c>
      <c r="B317" s="82"/>
      <c r="C317" s="99" t="s">
        <v>270</v>
      </c>
      <c r="D317" s="93">
        <f>D318+D320+D322</f>
        <v>215.7</v>
      </c>
      <c r="E317" s="93">
        <f t="shared" ref="E317:F317" si="95">E318+E320+E322</f>
        <v>260</v>
      </c>
      <c r="F317" s="93">
        <f t="shared" si="95"/>
        <v>290</v>
      </c>
    </row>
    <row r="318" spans="1:6" ht="114.75">
      <c r="A318" s="79">
        <v>520123261</v>
      </c>
      <c r="B318" s="3"/>
      <c r="C318" s="98" t="s">
        <v>271</v>
      </c>
      <c r="D318" s="41">
        <f>D319</f>
        <v>0</v>
      </c>
      <c r="E318" s="41">
        <f>E319</f>
        <v>100</v>
      </c>
      <c r="F318" s="41">
        <f>F319</f>
        <v>100</v>
      </c>
    </row>
    <row r="319" spans="1:6" ht="38.25">
      <c r="A319" s="79">
        <v>520123261</v>
      </c>
      <c r="B319" s="82" t="s">
        <v>212</v>
      </c>
      <c r="C319" s="98" t="s">
        <v>213</v>
      </c>
      <c r="D319" s="41">
        <v>0</v>
      </c>
      <c r="E319" s="41">
        <v>100</v>
      </c>
      <c r="F319" s="41">
        <v>100</v>
      </c>
    </row>
    <row r="320" spans="1:6" ht="38.25">
      <c r="A320" s="79">
        <v>520123262</v>
      </c>
      <c r="B320" s="16"/>
      <c r="C320" s="98" t="s">
        <v>302</v>
      </c>
      <c r="D320" s="41">
        <f>D321</f>
        <v>15.7</v>
      </c>
      <c r="E320" s="41">
        <f>E321</f>
        <v>0</v>
      </c>
      <c r="F320" s="41">
        <f>F321</f>
        <v>20</v>
      </c>
    </row>
    <row r="321" spans="1:6" ht="38.25">
      <c r="A321" s="79">
        <v>520123262</v>
      </c>
      <c r="B321" s="82" t="s">
        <v>212</v>
      </c>
      <c r="C321" s="98" t="s">
        <v>213</v>
      </c>
      <c r="D321" s="41">
        <f>20-4.3</f>
        <v>15.7</v>
      </c>
      <c r="E321" s="41">
        <v>0</v>
      </c>
      <c r="F321" s="41">
        <v>20</v>
      </c>
    </row>
    <row r="322" spans="1:6" ht="16.5" customHeight="1">
      <c r="A322" s="137" t="s">
        <v>500</v>
      </c>
      <c r="B322" s="82"/>
      <c r="C322" s="98" t="s">
        <v>501</v>
      </c>
      <c r="D322" s="41">
        <f>D323</f>
        <v>200</v>
      </c>
      <c r="E322" s="41">
        <f t="shared" ref="E322:F322" si="96">E323</f>
        <v>160</v>
      </c>
      <c r="F322" s="41">
        <f t="shared" si="96"/>
        <v>170</v>
      </c>
    </row>
    <row r="323" spans="1:6" ht="38.25">
      <c r="A323" s="137" t="s">
        <v>500</v>
      </c>
      <c r="B323" s="82" t="s">
        <v>212</v>
      </c>
      <c r="C323" s="98" t="s">
        <v>213</v>
      </c>
      <c r="D323" s="41">
        <v>200</v>
      </c>
      <c r="E323" s="41">
        <v>160</v>
      </c>
      <c r="F323" s="41">
        <v>170</v>
      </c>
    </row>
    <row r="324" spans="1:6" ht="25.5">
      <c r="A324" s="21" t="s">
        <v>272</v>
      </c>
      <c r="B324" s="82"/>
      <c r="C324" s="99" t="s">
        <v>502</v>
      </c>
      <c r="D324" s="41">
        <f>D325+D328+D330</f>
        <v>3333.8999999999996</v>
      </c>
      <c r="E324" s="41">
        <f>E325+E328+E330</f>
        <v>1963.7</v>
      </c>
      <c r="F324" s="41">
        <f>F325+F328+F330</f>
        <v>1520</v>
      </c>
    </row>
    <row r="325" spans="1:6" ht="39" customHeight="1">
      <c r="A325" s="79">
        <v>520223264</v>
      </c>
      <c r="B325" s="82"/>
      <c r="C325" s="98" t="s">
        <v>503</v>
      </c>
      <c r="D325" s="41">
        <f>SUM(D326:D327)</f>
        <v>3333.8999999999996</v>
      </c>
      <c r="E325" s="41">
        <f t="shared" ref="E325:F325" si="97">E326+E327</f>
        <v>300</v>
      </c>
      <c r="F325" s="41">
        <f t="shared" si="97"/>
        <v>0</v>
      </c>
    </row>
    <row r="326" spans="1:6">
      <c r="A326" s="79">
        <v>520223264</v>
      </c>
      <c r="B326" s="82" t="s">
        <v>716</v>
      </c>
      <c r="C326" s="98" t="s">
        <v>717</v>
      </c>
      <c r="D326" s="41">
        <f>67.5+9.8+0.1+23.3</f>
        <v>100.69999999999999</v>
      </c>
      <c r="E326" s="41">
        <v>0</v>
      </c>
      <c r="F326" s="41">
        <v>0</v>
      </c>
    </row>
    <row r="327" spans="1:6">
      <c r="A327" s="79">
        <v>520223264</v>
      </c>
      <c r="B327" s="82" t="s">
        <v>132</v>
      </c>
      <c r="C327" s="98" t="s">
        <v>133</v>
      </c>
      <c r="D327" s="41">
        <f>1648+325.2+337+946.3-23.3</f>
        <v>3233.2</v>
      </c>
      <c r="E327" s="41">
        <v>300</v>
      </c>
      <c r="F327" s="41">
        <v>0</v>
      </c>
    </row>
    <row r="328" spans="1:6" ht="51" customHeight="1">
      <c r="A328" s="79">
        <v>520223265</v>
      </c>
      <c r="B328" s="82"/>
      <c r="C328" s="98" t="s">
        <v>504</v>
      </c>
      <c r="D328" s="41">
        <f>D329</f>
        <v>0</v>
      </c>
      <c r="E328" s="41">
        <f t="shared" ref="E328:F328" si="98">E329</f>
        <v>1463.7</v>
      </c>
      <c r="F328" s="41">
        <f t="shared" si="98"/>
        <v>1220</v>
      </c>
    </row>
    <row r="329" spans="1:6">
      <c r="A329" s="79">
        <v>520223265</v>
      </c>
      <c r="B329" s="82" t="s">
        <v>251</v>
      </c>
      <c r="C329" s="99" t="s">
        <v>274</v>
      </c>
      <c r="D329" s="41">
        <f>1296.4-307.6-988.8</f>
        <v>0</v>
      </c>
      <c r="E329" s="41">
        <v>1463.7</v>
      </c>
      <c r="F329" s="41">
        <v>1220</v>
      </c>
    </row>
    <row r="330" spans="1:6" ht="25.5">
      <c r="A330" s="21" t="s">
        <v>505</v>
      </c>
      <c r="B330" s="82"/>
      <c r="C330" s="99" t="s">
        <v>275</v>
      </c>
      <c r="D330" s="41">
        <f>D331</f>
        <v>0</v>
      </c>
      <c r="E330" s="41">
        <f>E331</f>
        <v>200</v>
      </c>
      <c r="F330" s="41">
        <f>F331</f>
        <v>300</v>
      </c>
    </row>
    <row r="331" spans="1:6" ht="38.25">
      <c r="A331" s="21" t="s">
        <v>505</v>
      </c>
      <c r="B331" s="82" t="s">
        <v>212</v>
      </c>
      <c r="C331" s="98" t="s">
        <v>213</v>
      </c>
      <c r="D331" s="41">
        <v>0</v>
      </c>
      <c r="E331" s="39">
        <v>200</v>
      </c>
      <c r="F331" s="39">
        <v>300</v>
      </c>
    </row>
    <row r="332" spans="1:6" ht="51">
      <c r="A332" s="52" t="s">
        <v>153</v>
      </c>
      <c r="B332" s="16"/>
      <c r="C332" s="48" t="s">
        <v>150</v>
      </c>
      <c r="D332" s="93">
        <f>D333+D336</f>
        <v>3534.3</v>
      </c>
      <c r="E332" s="93">
        <f>E333+E336</f>
        <v>2914.1</v>
      </c>
      <c r="F332" s="93">
        <f>F333+F336</f>
        <v>3327.8</v>
      </c>
    </row>
    <row r="333" spans="1:6" ht="62.25" customHeight="1">
      <c r="A333" s="21" t="s">
        <v>276</v>
      </c>
      <c r="B333" s="82"/>
      <c r="C333" s="99" t="s">
        <v>314</v>
      </c>
      <c r="D333" s="39">
        <f t="shared" ref="D333:F334" si="99">D334</f>
        <v>1612.2000000000003</v>
      </c>
      <c r="E333" s="39">
        <f t="shared" si="99"/>
        <v>1487.8</v>
      </c>
      <c r="F333" s="39">
        <f t="shared" si="99"/>
        <v>1487.8</v>
      </c>
    </row>
    <row r="334" spans="1:6" ht="63.75">
      <c r="A334" s="79">
        <v>530123271</v>
      </c>
      <c r="B334" s="16"/>
      <c r="C334" s="98" t="s">
        <v>154</v>
      </c>
      <c r="D334" s="41">
        <f t="shared" si="99"/>
        <v>1612.2000000000003</v>
      </c>
      <c r="E334" s="41">
        <f t="shared" si="99"/>
        <v>1487.8</v>
      </c>
      <c r="F334" s="41">
        <f t="shared" si="99"/>
        <v>1487.8</v>
      </c>
    </row>
    <row r="335" spans="1:6" ht="38.25">
      <c r="A335" s="79">
        <v>530123271</v>
      </c>
      <c r="B335" s="82" t="s">
        <v>212</v>
      </c>
      <c r="C335" s="98" t="s">
        <v>213</v>
      </c>
      <c r="D335" s="1">
        <f>1461.4-6.8+123.2+22.9+11.5</f>
        <v>1612.2000000000003</v>
      </c>
      <c r="E335" s="1">
        <v>1487.8</v>
      </c>
      <c r="F335" s="1">
        <v>1487.8</v>
      </c>
    </row>
    <row r="336" spans="1:6" ht="51">
      <c r="A336" s="21" t="s">
        <v>277</v>
      </c>
      <c r="B336" s="16"/>
      <c r="C336" s="99" t="s">
        <v>506</v>
      </c>
      <c r="D336" s="41">
        <f t="shared" ref="D336:F337" si="100">D337</f>
        <v>1922.1</v>
      </c>
      <c r="E336" s="41">
        <f t="shared" si="100"/>
        <v>1426.3</v>
      </c>
      <c r="F336" s="41">
        <f t="shared" si="100"/>
        <v>1840</v>
      </c>
    </row>
    <row r="337" spans="1:7" ht="39" customHeight="1">
      <c r="A337" s="79">
        <v>530223272</v>
      </c>
      <c r="B337" s="16"/>
      <c r="C337" s="98" t="s">
        <v>507</v>
      </c>
      <c r="D337" s="41">
        <f t="shared" si="100"/>
        <v>1922.1</v>
      </c>
      <c r="E337" s="41">
        <f t="shared" si="100"/>
        <v>1426.3</v>
      </c>
      <c r="F337" s="41">
        <f t="shared" si="100"/>
        <v>1840</v>
      </c>
    </row>
    <row r="338" spans="1:7" ht="38.25">
      <c r="A338" s="79">
        <v>530223272</v>
      </c>
      <c r="B338" s="82" t="s">
        <v>212</v>
      </c>
      <c r="C338" s="98" t="s">
        <v>213</v>
      </c>
      <c r="D338" s="41">
        <v>1922.1</v>
      </c>
      <c r="E338" s="41">
        <v>1426.3</v>
      </c>
      <c r="F338" s="41">
        <v>1840</v>
      </c>
    </row>
    <row r="339" spans="1:7" ht="79.5" customHeight="1">
      <c r="A339" s="78" t="s">
        <v>66</v>
      </c>
      <c r="B339" s="16"/>
      <c r="C339" s="63" t="s">
        <v>612</v>
      </c>
      <c r="D339" s="96">
        <f t="shared" ref="D339:F342" si="101">D340</f>
        <v>524.5</v>
      </c>
      <c r="E339" s="96">
        <f t="shared" si="101"/>
        <v>529.29999999999995</v>
      </c>
      <c r="F339" s="96">
        <f t="shared" si="101"/>
        <v>529.29999999999995</v>
      </c>
    </row>
    <row r="340" spans="1:7" ht="40.5" customHeight="1">
      <c r="A340" s="77" t="s">
        <v>67</v>
      </c>
      <c r="B340" s="16"/>
      <c r="C340" s="60" t="s">
        <v>510</v>
      </c>
      <c r="D340" s="93">
        <f t="shared" si="101"/>
        <v>524.5</v>
      </c>
      <c r="E340" s="93">
        <f t="shared" si="101"/>
        <v>529.29999999999995</v>
      </c>
      <c r="F340" s="93">
        <f t="shared" si="101"/>
        <v>529.29999999999995</v>
      </c>
    </row>
    <row r="341" spans="1:7" ht="63.75">
      <c r="A341" s="74">
        <v>610100000</v>
      </c>
      <c r="B341" s="16"/>
      <c r="C341" s="98" t="s">
        <v>509</v>
      </c>
      <c r="D341" s="39">
        <f>D342+D344</f>
        <v>524.5</v>
      </c>
      <c r="E341" s="39">
        <f t="shared" ref="E341:F341" si="102">E342+E344</f>
        <v>529.29999999999995</v>
      </c>
      <c r="F341" s="39">
        <f t="shared" si="102"/>
        <v>529.29999999999995</v>
      </c>
    </row>
    <row r="342" spans="1:7" ht="38.25">
      <c r="A342" s="138" t="s">
        <v>508</v>
      </c>
      <c r="B342" s="16"/>
      <c r="C342" s="98" t="s">
        <v>645</v>
      </c>
      <c r="D342" s="41">
        <f t="shared" si="101"/>
        <v>515.5</v>
      </c>
      <c r="E342" s="41">
        <f t="shared" si="101"/>
        <v>520.29999999999995</v>
      </c>
      <c r="F342" s="41">
        <f t="shared" si="101"/>
        <v>520.29999999999995</v>
      </c>
    </row>
    <row r="343" spans="1:7" ht="38.25">
      <c r="A343" s="138" t="s">
        <v>508</v>
      </c>
      <c r="B343" s="82" t="s">
        <v>212</v>
      </c>
      <c r="C343" s="98" t="s">
        <v>213</v>
      </c>
      <c r="D343" s="41">
        <f>520.3+300-304.8</f>
        <v>515.5</v>
      </c>
      <c r="E343" s="41">
        <v>520.29999999999995</v>
      </c>
      <c r="F343" s="41">
        <v>520.29999999999995</v>
      </c>
    </row>
    <row r="344" spans="1:7" ht="30" customHeight="1">
      <c r="A344" s="138" t="s">
        <v>580</v>
      </c>
      <c r="B344" s="82"/>
      <c r="C344" s="98" t="s">
        <v>581</v>
      </c>
      <c r="D344" s="41">
        <f>D345</f>
        <v>9</v>
      </c>
      <c r="E344" s="41">
        <f t="shared" ref="E344:F344" si="103">E345</f>
        <v>9</v>
      </c>
      <c r="F344" s="41">
        <f t="shared" si="103"/>
        <v>9</v>
      </c>
    </row>
    <row r="345" spans="1:7" ht="38.25">
      <c r="A345" s="138" t="s">
        <v>580</v>
      </c>
      <c r="B345" s="82" t="s">
        <v>212</v>
      </c>
      <c r="C345" s="98" t="s">
        <v>213</v>
      </c>
      <c r="D345" s="41">
        <v>9</v>
      </c>
      <c r="E345" s="41">
        <v>9</v>
      </c>
      <c r="F345" s="41">
        <v>9</v>
      </c>
    </row>
    <row r="346" spans="1:7" ht="90" customHeight="1">
      <c r="A346" s="81" t="s">
        <v>33</v>
      </c>
      <c r="B346" s="16"/>
      <c r="C346" s="53" t="s">
        <v>616</v>
      </c>
      <c r="D346" s="96">
        <f>D347+D356+D365</f>
        <v>12785.5</v>
      </c>
      <c r="E346" s="96">
        <f t="shared" ref="E346:F346" si="104">E347+E356+E365</f>
        <v>5465</v>
      </c>
      <c r="F346" s="96">
        <f t="shared" si="104"/>
        <v>5465</v>
      </c>
    </row>
    <row r="347" spans="1:7" ht="25.5" customHeight="1">
      <c r="A347" s="52" t="s">
        <v>34</v>
      </c>
      <c r="B347" s="16"/>
      <c r="C347" s="48" t="s">
        <v>584</v>
      </c>
      <c r="D347" s="93">
        <f>D348+D351</f>
        <v>499.7</v>
      </c>
      <c r="E347" s="93">
        <f>E348+E351</f>
        <v>565</v>
      </c>
      <c r="F347" s="93">
        <f>F348+F351</f>
        <v>565</v>
      </c>
      <c r="G347" s="103"/>
    </row>
    <row r="348" spans="1:7" ht="38.25">
      <c r="A348" s="21" t="s">
        <v>236</v>
      </c>
      <c r="B348" s="16"/>
      <c r="C348" s="99" t="s">
        <v>235</v>
      </c>
      <c r="D348" s="93">
        <f t="shared" ref="D348:F349" si="105">D349</f>
        <v>485.7</v>
      </c>
      <c r="E348" s="93">
        <f t="shared" si="105"/>
        <v>445</v>
      </c>
      <c r="F348" s="93">
        <f t="shared" si="105"/>
        <v>445</v>
      </c>
    </row>
    <row r="349" spans="1:7" ht="25.5">
      <c r="A349" s="21" t="s">
        <v>511</v>
      </c>
      <c r="B349" s="3"/>
      <c r="C349" s="98" t="s">
        <v>189</v>
      </c>
      <c r="D349" s="41">
        <f t="shared" si="105"/>
        <v>485.7</v>
      </c>
      <c r="E349" s="41">
        <f t="shared" si="105"/>
        <v>445</v>
      </c>
      <c r="F349" s="41">
        <f t="shared" si="105"/>
        <v>445</v>
      </c>
    </row>
    <row r="350" spans="1:7" ht="38.25">
      <c r="A350" s="21" t="s">
        <v>511</v>
      </c>
      <c r="B350" s="82" t="s">
        <v>212</v>
      </c>
      <c r="C350" s="98" t="s">
        <v>213</v>
      </c>
      <c r="D350" s="41">
        <v>485.7</v>
      </c>
      <c r="E350" s="39">
        <v>445</v>
      </c>
      <c r="F350" s="39">
        <v>445</v>
      </c>
      <c r="G350" s="103"/>
    </row>
    <row r="351" spans="1:7" ht="38.25">
      <c r="A351" s="21" t="s">
        <v>513</v>
      </c>
      <c r="B351" s="82"/>
      <c r="C351" s="99" t="s">
        <v>340</v>
      </c>
      <c r="D351" s="41">
        <f t="shared" ref="D351" si="106">D352</f>
        <v>14</v>
      </c>
      <c r="E351" s="41">
        <f t="shared" ref="E351:F351" si="107">E352+E354</f>
        <v>120</v>
      </c>
      <c r="F351" s="41">
        <f t="shared" si="107"/>
        <v>120</v>
      </c>
      <c r="G351" s="103"/>
    </row>
    <row r="352" spans="1:7" ht="25.5">
      <c r="A352" s="21" t="s">
        <v>512</v>
      </c>
      <c r="B352" s="16"/>
      <c r="C352" s="98" t="s">
        <v>339</v>
      </c>
      <c r="D352" s="41">
        <f>D353</f>
        <v>14</v>
      </c>
      <c r="E352" s="41">
        <f t="shared" ref="E352:F352" si="108">E353</f>
        <v>40</v>
      </c>
      <c r="F352" s="41">
        <f t="shared" si="108"/>
        <v>40</v>
      </c>
      <c r="G352" s="103"/>
    </row>
    <row r="353" spans="1:7" ht="38.25">
      <c r="A353" s="21" t="s">
        <v>512</v>
      </c>
      <c r="B353" s="82" t="s">
        <v>212</v>
      </c>
      <c r="C353" s="98" t="s">
        <v>213</v>
      </c>
      <c r="D353" s="41">
        <f>8.3+1.7+4</f>
        <v>14</v>
      </c>
      <c r="E353" s="41">
        <v>40</v>
      </c>
      <c r="F353" s="41">
        <v>40</v>
      </c>
      <c r="G353" s="103"/>
    </row>
    <row r="354" spans="1:7" ht="38.25">
      <c r="A354" s="21" t="s">
        <v>585</v>
      </c>
      <c r="B354" s="82"/>
      <c r="C354" s="98" t="s">
        <v>586</v>
      </c>
      <c r="D354" s="41">
        <f>D355</f>
        <v>0</v>
      </c>
      <c r="E354" s="41">
        <f t="shared" ref="E354:F354" si="109">E355</f>
        <v>80</v>
      </c>
      <c r="F354" s="41">
        <f t="shared" si="109"/>
        <v>80</v>
      </c>
      <c r="G354" s="103"/>
    </row>
    <row r="355" spans="1:7" ht="38.25">
      <c r="A355" s="21" t="s">
        <v>585</v>
      </c>
      <c r="B355" s="82" t="s">
        <v>212</v>
      </c>
      <c r="C355" s="98" t="s">
        <v>213</v>
      </c>
      <c r="D355" s="41">
        <v>0</v>
      </c>
      <c r="E355" s="41">
        <v>80</v>
      </c>
      <c r="F355" s="41">
        <v>80</v>
      </c>
      <c r="G355" s="103"/>
    </row>
    <row r="356" spans="1:7" ht="25.5">
      <c r="A356" s="52" t="s">
        <v>376</v>
      </c>
      <c r="B356" s="16"/>
      <c r="C356" s="46" t="s">
        <v>348</v>
      </c>
      <c r="D356" s="93">
        <f>D357+D362</f>
        <v>1026.8999999999996</v>
      </c>
      <c r="E356" s="93">
        <f t="shared" ref="E356:F356" si="110">E357+E362</f>
        <v>2900</v>
      </c>
      <c r="F356" s="93">
        <f t="shared" si="110"/>
        <v>2900</v>
      </c>
      <c r="G356" s="103"/>
    </row>
    <row r="357" spans="1:7" ht="38.25">
      <c r="A357" s="21" t="s">
        <v>514</v>
      </c>
      <c r="B357" s="16"/>
      <c r="C357" s="99" t="s">
        <v>305</v>
      </c>
      <c r="D357" s="39">
        <f>D358+D360</f>
        <v>1026.8999999999996</v>
      </c>
      <c r="E357" s="39">
        <f t="shared" ref="E357:F357" si="111">E358+E360</f>
        <v>800</v>
      </c>
      <c r="F357" s="39">
        <f t="shared" si="111"/>
        <v>800</v>
      </c>
      <c r="G357" s="103"/>
    </row>
    <row r="358" spans="1:7" ht="36" customHeight="1">
      <c r="A358" s="21" t="s">
        <v>515</v>
      </c>
      <c r="B358" s="16"/>
      <c r="C358" s="97" t="s">
        <v>190</v>
      </c>
      <c r="D358" s="41">
        <f>D359</f>
        <v>178</v>
      </c>
      <c r="E358" s="41">
        <f>E359</f>
        <v>250</v>
      </c>
      <c r="F358" s="41">
        <f>F359</f>
        <v>250</v>
      </c>
      <c r="G358" s="103"/>
    </row>
    <row r="359" spans="1:7" ht="38.25">
      <c r="A359" s="21" t="s">
        <v>515</v>
      </c>
      <c r="B359" s="82" t="s">
        <v>212</v>
      </c>
      <c r="C359" s="98" t="s">
        <v>213</v>
      </c>
      <c r="D359" s="41">
        <f>200-20.3-1.7</f>
        <v>178</v>
      </c>
      <c r="E359" s="41">
        <v>250</v>
      </c>
      <c r="F359" s="41">
        <v>250</v>
      </c>
      <c r="G359" s="103"/>
    </row>
    <row r="360" spans="1:7" ht="27" customHeight="1">
      <c r="A360" s="21" t="s">
        <v>517</v>
      </c>
      <c r="B360" s="82"/>
      <c r="C360" s="98" t="s">
        <v>516</v>
      </c>
      <c r="D360" s="41">
        <f>D361</f>
        <v>848.89999999999964</v>
      </c>
      <c r="E360" s="41">
        <f t="shared" ref="E360:F360" si="112">E361</f>
        <v>550</v>
      </c>
      <c r="F360" s="41">
        <f t="shared" si="112"/>
        <v>550</v>
      </c>
      <c r="G360" s="103"/>
    </row>
    <row r="361" spans="1:7" ht="38.25">
      <c r="A361" s="21" t="s">
        <v>517</v>
      </c>
      <c r="B361" s="82" t="s">
        <v>212</v>
      </c>
      <c r="C361" s="98" t="s">
        <v>213</v>
      </c>
      <c r="D361" s="41">
        <f>500+146.9+280-78+5000-5000</f>
        <v>848.89999999999964</v>
      </c>
      <c r="E361" s="41">
        <v>550</v>
      </c>
      <c r="F361" s="41">
        <v>550</v>
      </c>
      <c r="G361" s="103"/>
    </row>
    <row r="362" spans="1:7" ht="25.5">
      <c r="A362" s="21" t="s">
        <v>519</v>
      </c>
      <c r="B362" s="82"/>
      <c r="C362" s="99" t="s">
        <v>375</v>
      </c>
      <c r="D362" s="41">
        <f t="shared" ref="D362:F363" si="113">D363</f>
        <v>0</v>
      </c>
      <c r="E362" s="41">
        <f t="shared" si="113"/>
        <v>2100</v>
      </c>
      <c r="F362" s="41">
        <f t="shared" si="113"/>
        <v>2100</v>
      </c>
      <c r="G362" s="103"/>
    </row>
    <row r="363" spans="1:7" ht="38.25">
      <c r="A363" s="21" t="s">
        <v>518</v>
      </c>
      <c r="B363" s="16"/>
      <c r="C363" s="98" t="s">
        <v>618</v>
      </c>
      <c r="D363" s="41">
        <f t="shared" si="113"/>
        <v>0</v>
      </c>
      <c r="E363" s="41">
        <f t="shared" si="113"/>
        <v>2100</v>
      </c>
      <c r="F363" s="41">
        <f t="shared" si="113"/>
        <v>2100</v>
      </c>
      <c r="G363" s="103"/>
    </row>
    <row r="364" spans="1:7" ht="38.25">
      <c r="A364" s="21" t="s">
        <v>518</v>
      </c>
      <c r="B364" s="82" t="s">
        <v>212</v>
      </c>
      <c r="C364" s="98" t="s">
        <v>213</v>
      </c>
      <c r="D364" s="41">
        <f>2000+700-2700</f>
        <v>0</v>
      </c>
      <c r="E364" s="41">
        <v>2100</v>
      </c>
      <c r="F364" s="41">
        <v>2100</v>
      </c>
      <c r="G364" s="103"/>
    </row>
    <row r="365" spans="1:7" ht="38.25">
      <c r="A365" s="52" t="s">
        <v>35</v>
      </c>
      <c r="B365" s="16"/>
      <c r="C365" s="46" t="s">
        <v>520</v>
      </c>
      <c r="D365" s="41">
        <f>D366+D371</f>
        <v>11258.9</v>
      </c>
      <c r="E365" s="41">
        <f t="shared" ref="E365:F365" si="114">E366+E371</f>
        <v>2000</v>
      </c>
      <c r="F365" s="41">
        <f t="shared" si="114"/>
        <v>2000</v>
      </c>
      <c r="G365" s="103"/>
    </row>
    <row r="366" spans="1:7" ht="49.5" customHeight="1">
      <c r="A366" s="21" t="s">
        <v>237</v>
      </c>
      <c r="B366" s="16"/>
      <c r="C366" s="99" t="s">
        <v>739</v>
      </c>
      <c r="D366" s="41">
        <f>D367+D369</f>
        <v>9812.9</v>
      </c>
      <c r="E366" s="41">
        <f t="shared" ref="E366:F366" si="115">E367+E369</f>
        <v>1000</v>
      </c>
      <c r="F366" s="41">
        <f t="shared" si="115"/>
        <v>1000</v>
      </c>
      <c r="G366" s="103"/>
    </row>
    <row r="367" spans="1:7" ht="39.75" customHeight="1">
      <c r="A367" s="21" t="s">
        <v>522</v>
      </c>
      <c r="B367" s="16"/>
      <c r="C367" s="99" t="s">
        <v>521</v>
      </c>
      <c r="D367" s="41">
        <f>D368</f>
        <v>9721.9</v>
      </c>
      <c r="E367" s="41">
        <f t="shared" ref="E367:F367" si="116">E368</f>
        <v>1000</v>
      </c>
      <c r="F367" s="41">
        <f t="shared" si="116"/>
        <v>1000</v>
      </c>
      <c r="G367" s="103"/>
    </row>
    <row r="368" spans="1:7" ht="42.75" customHeight="1">
      <c r="A368" s="21" t="s">
        <v>522</v>
      </c>
      <c r="B368" s="82" t="s">
        <v>212</v>
      </c>
      <c r="C368" s="98" t="s">
        <v>213</v>
      </c>
      <c r="D368" s="41">
        <f>1700-700+700+3849.7+87.7+20.3+43.6+3961.7+63.5-4-0.6</f>
        <v>9721.9</v>
      </c>
      <c r="E368" s="41">
        <v>1000</v>
      </c>
      <c r="F368" s="41">
        <v>1000</v>
      </c>
      <c r="G368" s="103"/>
    </row>
    <row r="369" spans="1:7" ht="49.5" customHeight="1">
      <c r="A369" s="21" t="s">
        <v>726</v>
      </c>
      <c r="B369" s="82"/>
      <c r="C369" s="98" t="s">
        <v>725</v>
      </c>
      <c r="D369" s="41">
        <f>D370</f>
        <v>91</v>
      </c>
      <c r="E369" s="41">
        <f t="shared" ref="E369:F369" si="117">E370</f>
        <v>0</v>
      </c>
      <c r="F369" s="41">
        <f t="shared" si="117"/>
        <v>0</v>
      </c>
      <c r="G369" s="103"/>
    </row>
    <row r="370" spans="1:7" ht="42.75" customHeight="1">
      <c r="A370" s="21" t="s">
        <v>726</v>
      </c>
      <c r="B370" s="82" t="s">
        <v>212</v>
      </c>
      <c r="C370" s="98" t="s">
        <v>213</v>
      </c>
      <c r="D370" s="41">
        <v>91</v>
      </c>
      <c r="E370" s="41">
        <v>0</v>
      </c>
      <c r="F370" s="41">
        <v>0</v>
      </c>
      <c r="G370" s="103"/>
    </row>
    <row r="371" spans="1:7" ht="25.5" customHeight="1">
      <c r="A371" s="21" t="s">
        <v>374</v>
      </c>
      <c r="B371" s="82"/>
      <c r="C371" s="99" t="s">
        <v>617</v>
      </c>
      <c r="D371" s="41">
        <f>D372</f>
        <v>1446</v>
      </c>
      <c r="E371" s="41">
        <f t="shared" ref="E371:F372" si="118">E372</f>
        <v>1000</v>
      </c>
      <c r="F371" s="41">
        <f t="shared" si="118"/>
        <v>1000</v>
      </c>
      <c r="G371" s="103"/>
    </row>
    <row r="372" spans="1:7" ht="26.25" customHeight="1">
      <c r="A372" s="21" t="s">
        <v>523</v>
      </c>
      <c r="B372" s="16"/>
      <c r="C372" s="99" t="s">
        <v>378</v>
      </c>
      <c r="D372" s="41">
        <f>D373</f>
        <v>1446</v>
      </c>
      <c r="E372" s="41">
        <f t="shared" si="118"/>
        <v>1000</v>
      </c>
      <c r="F372" s="41">
        <f t="shared" si="118"/>
        <v>1000</v>
      </c>
      <c r="G372" s="103"/>
    </row>
    <row r="373" spans="1:7" ht="12.75" customHeight="1">
      <c r="A373" s="21" t="s">
        <v>523</v>
      </c>
      <c r="B373" s="82" t="s">
        <v>251</v>
      </c>
      <c r="C373" s="99" t="s">
        <v>274</v>
      </c>
      <c r="D373" s="41">
        <f>1515.6-69.6</f>
        <v>1446</v>
      </c>
      <c r="E373" s="41">
        <v>1000</v>
      </c>
      <c r="F373" s="41">
        <v>1000</v>
      </c>
      <c r="G373" s="103"/>
    </row>
    <row r="374" spans="1:7" ht="77.25" customHeight="1">
      <c r="A374" s="73" t="s">
        <v>147</v>
      </c>
      <c r="B374" s="16"/>
      <c r="C374" s="63" t="s">
        <v>619</v>
      </c>
      <c r="D374" s="96">
        <f>D376</f>
        <v>1356.4</v>
      </c>
      <c r="E374" s="96">
        <f>E376</f>
        <v>300</v>
      </c>
      <c r="F374" s="96">
        <f>F376</f>
        <v>300</v>
      </c>
    </row>
    <row r="375" spans="1:7" ht="51">
      <c r="A375" s="21" t="s">
        <v>148</v>
      </c>
      <c r="B375" s="16"/>
      <c r="C375" s="48" t="s">
        <v>524</v>
      </c>
      <c r="D375" s="93">
        <f>D376</f>
        <v>1356.4</v>
      </c>
      <c r="E375" s="93">
        <f>E376</f>
        <v>300</v>
      </c>
      <c r="F375" s="93">
        <f>F376</f>
        <v>300</v>
      </c>
    </row>
    <row r="376" spans="1:7" ht="76.5" customHeight="1">
      <c r="A376" s="21" t="s">
        <v>211</v>
      </c>
      <c r="B376" s="16"/>
      <c r="C376" s="99" t="s">
        <v>525</v>
      </c>
      <c r="D376" s="39">
        <f>D377+D379+D381+D383</f>
        <v>1356.4</v>
      </c>
      <c r="E376" s="39">
        <f t="shared" ref="E376:F376" si="119">E377+E379+E381+E383</f>
        <v>300</v>
      </c>
      <c r="F376" s="39">
        <f t="shared" si="119"/>
        <v>300</v>
      </c>
    </row>
    <row r="377" spans="1:7" ht="51.75" customHeight="1">
      <c r="A377" s="138" t="s">
        <v>526</v>
      </c>
      <c r="B377" s="16"/>
      <c r="C377" s="99" t="s">
        <v>582</v>
      </c>
      <c r="D377" s="39">
        <f>D378</f>
        <v>0</v>
      </c>
      <c r="E377" s="39">
        <f>E378</f>
        <v>0</v>
      </c>
      <c r="F377" s="39">
        <f>F378</f>
        <v>300</v>
      </c>
    </row>
    <row r="378" spans="1:7" ht="38.25">
      <c r="A378" s="138" t="s">
        <v>526</v>
      </c>
      <c r="B378" s="82" t="s">
        <v>212</v>
      </c>
      <c r="C378" s="98" t="s">
        <v>213</v>
      </c>
      <c r="D378" s="39">
        <v>0</v>
      </c>
      <c r="E378" s="39">
        <v>0</v>
      </c>
      <c r="F378" s="39">
        <v>300</v>
      </c>
    </row>
    <row r="379" spans="1:7" ht="76.5" customHeight="1">
      <c r="A379" s="74">
        <v>810123102</v>
      </c>
      <c r="B379" s="16"/>
      <c r="C379" s="99" t="s">
        <v>527</v>
      </c>
      <c r="D379" s="39">
        <f>D380</f>
        <v>591</v>
      </c>
      <c r="E379" s="39">
        <f>E380</f>
        <v>100</v>
      </c>
      <c r="F379" s="39">
        <f>F380</f>
        <v>0</v>
      </c>
    </row>
    <row r="380" spans="1:7" ht="38.25">
      <c r="A380" s="74">
        <v>810123102</v>
      </c>
      <c r="B380" s="82" t="s">
        <v>212</v>
      </c>
      <c r="C380" s="98" t="s">
        <v>213</v>
      </c>
      <c r="D380" s="39">
        <v>591</v>
      </c>
      <c r="E380" s="39">
        <v>100</v>
      </c>
      <c r="F380" s="39">
        <v>0</v>
      </c>
    </row>
    <row r="381" spans="1:7" ht="65.25" customHeight="1">
      <c r="A381" s="74">
        <v>810123103</v>
      </c>
      <c r="B381" s="82"/>
      <c r="C381" s="98" t="s">
        <v>528</v>
      </c>
      <c r="D381" s="39">
        <f t="shared" ref="D381:F381" si="120">D382</f>
        <v>435</v>
      </c>
      <c r="E381" s="39">
        <f t="shared" si="120"/>
        <v>100</v>
      </c>
      <c r="F381" s="39">
        <f t="shared" si="120"/>
        <v>0</v>
      </c>
    </row>
    <row r="382" spans="1:7" ht="38.25">
      <c r="A382" s="74">
        <v>810123103</v>
      </c>
      <c r="B382" s="82" t="s">
        <v>212</v>
      </c>
      <c r="C382" s="98" t="s">
        <v>213</v>
      </c>
      <c r="D382" s="39">
        <v>435</v>
      </c>
      <c r="E382" s="39">
        <v>100</v>
      </c>
      <c r="F382" s="39">
        <v>0</v>
      </c>
    </row>
    <row r="383" spans="1:7" ht="81.75" customHeight="1">
      <c r="A383" s="74">
        <v>810123104</v>
      </c>
      <c r="B383" s="82"/>
      <c r="C383" s="98" t="s">
        <v>529</v>
      </c>
      <c r="D383" s="39">
        <f>D384</f>
        <v>330.4</v>
      </c>
      <c r="E383" s="39">
        <f t="shared" ref="E383:F383" si="121">E384</f>
        <v>100</v>
      </c>
      <c r="F383" s="39">
        <f t="shared" si="121"/>
        <v>0</v>
      </c>
    </row>
    <row r="384" spans="1:7" ht="38.25">
      <c r="A384" s="74">
        <v>810123104</v>
      </c>
      <c r="B384" s="82" t="s">
        <v>212</v>
      </c>
      <c r="C384" s="98" t="s">
        <v>213</v>
      </c>
      <c r="D384" s="39">
        <f>295.4+35</f>
        <v>330.4</v>
      </c>
      <c r="E384" s="39">
        <v>100</v>
      </c>
      <c r="F384" s="39">
        <v>0</v>
      </c>
    </row>
    <row r="385" spans="1:7" ht="76.5" customHeight="1">
      <c r="A385" s="73" t="s">
        <v>68</v>
      </c>
      <c r="B385" s="30"/>
      <c r="C385" s="142" t="s">
        <v>620</v>
      </c>
      <c r="D385" s="96">
        <f>D386+D408</f>
        <v>179970.40000000002</v>
      </c>
      <c r="E385" s="96">
        <f>E386+E408</f>
        <v>149113.5</v>
      </c>
      <c r="F385" s="96">
        <f>F386+F408</f>
        <v>167229.29999999999</v>
      </c>
      <c r="G385" s="103"/>
    </row>
    <row r="386" spans="1:7" ht="54" customHeight="1">
      <c r="A386" s="52" t="s">
        <v>69</v>
      </c>
      <c r="B386" s="30"/>
      <c r="C386" s="46" t="s">
        <v>166</v>
      </c>
      <c r="D386" s="93">
        <f>D387</f>
        <v>152644.00000000003</v>
      </c>
      <c r="E386" s="93">
        <f>E387</f>
        <v>123760.1</v>
      </c>
      <c r="F386" s="93">
        <f t="shared" ref="F386" si="122">F387</f>
        <v>141899.9</v>
      </c>
      <c r="G386" s="103"/>
    </row>
    <row r="387" spans="1:7" ht="38.25">
      <c r="A387" s="21" t="s">
        <v>298</v>
      </c>
      <c r="B387" s="30"/>
      <c r="C387" s="97" t="s">
        <v>310</v>
      </c>
      <c r="D387" s="93">
        <f>D388+D390+D392+D394+D396+D398+D400+D402+D404+D406</f>
        <v>152644.00000000003</v>
      </c>
      <c r="E387" s="93">
        <f>E388+E390+E392+E394+E396+E398+E400+E402+E404+E406</f>
        <v>123760.1</v>
      </c>
      <c r="F387" s="93">
        <f>F388+F390+F392+F394+F396+F398+F400+F402+F404+F406</f>
        <v>141899.9</v>
      </c>
      <c r="G387" s="103"/>
    </row>
    <row r="388" spans="1:7" ht="76.5">
      <c r="A388" s="74">
        <v>910123405</v>
      </c>
      <c r="B388" s="30"/>
      <c r="C388" s="97" t="s">
        <v>297</v>
      </c>
      <c r="D388" s="39">
        <f>D389</f>
        <v>15376.7</v>
      </c>
      <c r="E388" s="39">
        <f>E389</f>
        <v>8086.9</v>
      </c>
      <c r="F388" s="39">
        <f>F389</f>
        <v>15386.8</v>
      </c>
      <c r="G388" s="103"/>
    </row>
    <row r="389" spans="1:7" ht="38.25">
      <c r="A389" s="74">
        <v>910123405</v>
      </c>
      <c r="B389" s="82" t="s">
        <v>212</v>
      </c>
      <c r="C389" s="98" t="s">
        <v>213</v>
      </c>
      <c r="D389" s="39">
        <v>15376.7</v>
      </c>
      <c r="E389" s="39">
        <v>8086.9</v>
      </c>
      <c r="F389" s="39">
        <v>15386.8</v>
      </c>
    </row>
    <row r="390" spans="1:7" ht="63.75">
      <c r="A390" s="74">
        <v>910110520</v>
      </c>
      <c r="B390" s="30"/>
      <c r="C390" s="97" t="s">
        <v>185</v>
      </c>
      <c r="D390" s="39">
        <f>D391</f>
        <v>20020.599999999999</v>
      </c>
      <c r="E390" s="39">
        <f>E391</f>
        <v>20821.400000000001</v>
      </c>
      <c r="F390" s="39">
        <f>F391</f>
        <v>21654.3</v>
      </c>
      <c r="G390" s="103"/>
    </row>
    <row r="391" spans="1:7" ht="38.25">
      <c r="A391" s="74">
        <v>910110520</v>
      </c>
      <c r="B391" s="82" t="s">
        <v>212</v>
      </c>
      <c r="C391" s="98" t="s">
        <v>213</v>
      </c>
      <c r="D391" s="1">
        <v>20020.599999999999</v>
      </c>
      <c r="E391" s="39">
        <v>20821.400000000001</v>
      </c>
      <c r="F391" s="1">
        <v>21654.3</v>
      </c>
      <c r="G391" s="103"/>
    </row>
    <row r="392" spans="1:7" ht="25.5">
      <c r="A392" s="74">
        <v>910123410</v>
      </c>
      <c r="B392" s="16"/>
      <c r="C392" s="98" t="s">
        <v>186</v>
      </c>
      <c r="D392" s="39">
        <f>D393</f>
        <v>19002.400000000001</v>
      </c>
      <c r="E392" s="39">
        <f>E393</f>
        <v>8022.4000000000005</v>
      </c>
      <c r="F392" s="39">
        <f>F393</f>
        <v>16457</v>
      </c>
      <c r="G392" s="103"/>
    </row>
    <row r="393" spans="1:7" ht="38.25">
      <c r="A393" s="74">
        <v>910123410</v>
      </c>
      <c r="B393" s="82" t="s">
        <v>212</v>
      </c>
      <c r="C393" s="98" t="s">
        <v>213</v>
      </c>
      <c r="D393" s="39">
        <f>16457+1413.5+1131.9</f>
        <v>19002.400000000001</v>
      </c>
      <c r="E393" s="39">
        <f>8177.3-154.9</f>
        <v>8022.4000000000005</v>
      </c>
      <c r="F393" s="39">
        <v>16457</v>
      </c>
    </row>
    <row r="394" spans="1:7" ht="89.25">
      <c r="A394" s="74">
        <v>910123415</v>
      </c>
      <c r="B394" s="82"/>
      <c r="C394" s="131" t="s">
        <v>724</v>
      </c>
      <c r="D394" s="39">
        <f>D395</f>
        <v>2263.4</v>
      </c>
      <c r="E394" s="39">
        <f t="shared" ref="E394:F394" si="123">E395</f>
        <v>0</v>
      </c>
      <c r="F394" s="39">
        <f t="shared" si="123"/>
        <v>0</v>
      </c>
    </row>
    <row r="395" spans="1:7" ht="38.25">
      <c r="A395" s="74">
        <v>910123415</v>
      </c>
      <c r="B395" s="82" t="s">
        <v>212</v>
      </c>
      <c r="C395" s="98" t="s">
        <v>213</v>
      </c>
      <c r="D395" s="39">
        <f>100+380+5000-3566.6+350</f>
        <v>2263.4</v>
      </c>
      <c r="E395" s="39">
        <v>0</v>
      </c>
      <c r="F395" s="39">
        <v>0</v>
      </c>
    </row>
    <row r="396" spans="1:7" ht="51">
      <c r="A396" s="74" t="s">
        <v>353</v>
      </c>
      <c r="B396" s="82"/>
      <c r="C396" s="123" t="s">
        <v>352</v>
      </c>
      <c r="D396" s="39">
        <f>D397</f>
        <v>1144.1000000000004</v>
      </c>
      <c r="E396" s="39">
        <f>E397</f>
        <v>2410.3000000000002</v>
      </c>
      <c r="F396" s="39">
        <f>F397</f>
        <v>2506.8000000000002</v>
      </c>
    </row>
    <row r="397" spans="1:7" ht="38.25">
      <c r="A397" s="74" t="s">
        <v>353</v>
      </c>
      <c r="B397" s="82" t="s">
        <v>212</v>
      </c>
      <c r="C397" s="98" t="s">
        <v>213</v>
      </c>
      <c r="D397" s="39">
        <f>2317.6-1000+3130.1-10.9-3292.7</f>
        <v>1144.1000000000004</v>
      </c>
      <c r="E397" s="39">
        <v>2410.3000000000002</v>
      </c>
      <c r="F397" s="39">
        <v>2506.8000000000002</v>
      </c>
    </row>
    <row r="398" spans="1:7" ht="51">
      <c r="A398" s="138" t="s">
        <v>530</v>
      </c>
      <c r="B398" s="82"/>
      <c r="C398" s="123" t="s">
        <v>354</v>
      </c>
      <c r="D398" s="39">
        <f>D399</f>
        <v>7695.6</v>
      </c>
      <c r="E398" s="39">
        <f>E399</f>
        <v>9641.2999999999993</v>
      </c>
      <c r="F398" s="39">
        <f>F399</f>
        <v>10027</v>
      </c>
    </row>
    <row r="399" spans="1:7" ht="38.25">
      <c r="A399" s="138" t="s">
        <v>530</v>
      </c>
      <c r="B399" s="82" t="s">
        <v>212</v>
      </c>
      <c r="C399" s="98" t="s">
        <v>213</v>
      </c>
      <c r="D399" s="1">
        <f>9270.5-1574.9</f>
        <v>7695.6</v>
      </c>
      <c r="E399" s="39">
        <v>9641.2999999999993</v>
      </c>
      <c r="F399" s="149">
        <v>10027</v>
      </c>
    </row>
    <row r="400" spans="1:7" ht="25.5">
      <c r="A400" s="74" t="s">
        <v>349</v>
      </c>
      <c r="B400" s="82"/>
      <c r="C400" s="98" t="s">
        <v>350</v>
      </c>
      <c r="D400" s="39">
        <f>D401</f>
        <v>10850.8</v>
      </c>
      <c r="E400" s="39">
        <f>E401</f>
        <v>14955.6</v>
      </c>
      <c r="F400" s="39">
        <f>F401</f>
        <v>15173.6</v>
      </c>
    </row>
    <row r="401" spans="1:7" ht="38.25">
      <c r="A401" s="74" t="s">
        <v>349</v>
      </c>
      <c r="B401" s="82" t="s">
        <v>212</v>
      </c>
      <c r="C401" s="98" t="s">
        <v>213</v>
      </c>
      <c r="D401" s="39">
        <f>14380.3+396.5-800-5193.4-1842.6+3931.5-21.5</f>
        <v>10850.8</v>
      </c>
      <c r="E401" s="39">
        <v>14955.6</v>
      </c>
      <c r="F401" s="39">
        <v>15173.6</v>
      </c>
    </row>
    <row r="402" spans="1:7" ht="25.5">
      <c r="A402" s="140" t="s">
        <v>531</v>
      </c>
      <c r="B402" s="82"/>
      <c r="C402" s="98" t="s">
        <v>351</v>
      </c>
      <c r="D402" s="39">
        <f>D403</f>
        <v>57521.3</v>
      </c>
      <c r="E402" s="39">
        <f>E403</f>
        <v>59822.2</v>
      </c>
      <c r="F402" s="39">
        <f>F403</f>
        <v>60694.400000000001</v>
      </c>
    </row>
    <row r="403" spans="1:7" ht="38.25">
      <c r="A403" s="140" t="s">
        <v>531</v>
      </c>
      <c r="B403" s="82" t="s">
        <v>212</v>
      </c>
      <c r="C403" s="98" t="s">
        <v>213</v>
      </c>
      <c r="D403" s="39">
        <v>57521.3</v>
      </c>
      <c r="E403" s="1">
        <v>59822.2</v>
      </c>
      <c r="F403" s="1">
        <v>60694.400000000001</v>
      </c>
    </row>
    <row r="404" spans="1:7" ht="25.5">
      <c r="A404" s="74">
        <v>910123425</v>
      </c>
      <c r="B404" s="82"/>
      <c r="C404" s="98" t="s">
        <v>384</v>
      </c>
      <c r="D404" s="39">
        <f>D405</f>
        <v>17615.100000000002</v>
      </c>
      <c r="E404" s="39">
        <f>E405</f>
        <v>0</v>
      </c>
      <c r="F404" s="39">
        <f>F405</f>
        <v>0</v>
      </c>
    </row>
    <row r="405" spans="1:7" ht="38.25">
      <c r="A405" s="74">
        <v>910123425</v>
      </c>
      <c r="B405" s="82" t="s">
        <v>212</v>
      </c>
      <c r="C405" s="98" t="s">
        <v>213</v>
      </c>
      <c r="D405" s="39">
        <f>1590+1493.2+1306.4+2176+2289.3+8760.2</f>
        <v>17615.100000000002</v>
      </c>
      <c r="E405" s="39">
        <v>0</v>
      </c>
      <c r="F405" s="39">
        <v>0</v>
      </c>
    </row>
    <row r="406" spans="1:7">
      <c r="A406" s="74">
        <v>910123430</v>
      </c>
      <c r="B406" s="82"/>
      <c r="C406" s="98" t="s">
        <v>656</v>
      </c>
      <c r="D406" s="39">
        <f>D407</f>
        <v>1154</v>
      </c>
      <c r="E406" s="39">
        <f t="shared" ref="E406:F406" si="124">E407</f>
        <v>0</v>
      </c>
      <c r="F406" s="39">
        <f t="shared" si="124"/>
        <v>0</v>
      </c>
    </row>
    <row r="407" spans="1:7" ht="38.25">
      <c r="A407" s="74">
        <v>910123430</v>
      </c>
      <c r="B407" s="82" t="s">
        <v>212</v>
      </c>
      <c r="C407" s="98" t="s">
        <v>213</v>
      </c>
      <c r="D407" s="39">
        <f>817+337</f>
        <v>1154</v>
      </c>
      <c r="E407" s="39">
        <v>0</v>
      </c>
      <c r="F407" s="39">
        <v>0</v>
      </c>
    </row>
    <row r="408" spans="1:7" ht="63.75">
      <c r="A408" s="52" t="s">
        <v>215</v>
      </c>
      <c r="B408" s="30"/>
      <c r="C408" s="46" t="s">
        <v>187</v>
      </c>
      <c r="D408" s="93">
        <f>D409</f>
        <v>27326.400000000001</v>
      </c>
      <c r="E408" s="93">
        <f t="shared" ref="E408:F408" si="125">E409</f>
        <v>25353.4</v>
      </c>
      <c r="F408" s="93">
        <f t="shared" si="125"/>
        <v>25329.4</v>
      </c>
    </row>
    <row r="409" spans="1:7" ht="25.5">
      <c r="A409" s="74">
        <v>920100000</v>
      </c>
      <c r="B409" s="30"/>
      <c r="C409" s="97" t="s">
        <v>299</v>
      </c>
      <c r="D409" s="39">
        <f>D410+D412+D414+D416</f>
        <v>27326.400000000001</v>
      </c>
      <c r="E409" s="39">
        <f t="shared" ref="E409:F409" si="126">E410+E412+E414+E416</f>
        <v>25353.4</v>
      </c>
      <c r="F409" s="39">
        <f t="shared" si="126"/>
        <v>25329.4</v>
      </c>
    </row>
    <row r="410" spans="1:7" ht="63.75">
      <c r="A410" s="74" t="s">
        <v>308</v>
      </c>
      <c r="B410" s="30"/>
      <c r="C410" s="97" t="s">
        <v>216</v>
      </c>
      <c r="D410" s="39">
        <f>D411</f>
        <v>5028.8</v>
      </c>
      <c r="E410" s="39">
        <f>E411</f>
        <v>5039.7</v>
      </c>
      <c r="F410" s="39">
        <f>F411</f>
        <v>5054.8999999999996</v>
      </c>
      <c r="G410" s="103"/>
    </row>
    <row r="411" spans="1:7" ht="38.25">
      <c r="A411" s="74" t="s">
        <v>308</v>
      </c>
      <c r="B411" s="82" t="s">
        <v>212</v>
      </c>
      <c r="C411" s="98" t="s">
        <v>213</v>
      </c>
      <c r="D411" s="39">
        <v>5028.8</v>
      </c>
      <c r="E411" s="39">
        <v>5039.7</v>
      </c>
      <c r="F411" s="39">
        <v>5054.8999999999996</v>
      </c>
    </row>
    <row r="412" spans="1:7" ht="51">
      <c r="A412" s="74">
        <v>920110300</v>
      </c>
      <c r="B412" s="16"/>
      <c r="C412" s="97" t="s">
        <v>755</v>
      </c>
      <c r="D412" s="39">
        <f>D413</f>
        <v>20115.2</v>
      </c>
      <c r="E412" s="39">
        <f>E413</f>
        <v>20158.8</v>
      </c>
      <c r="F412" s="39">
        <f>F413</f>
        <v>20219.5</v>
      </c>
    </row>
    <row r="413" spans="1:7" ht="38.25">
      <c r="A413" s="74">
        <v>920110300</v>
      </c>
      <c r="B413" s="82" t="s">
        <v>212</v>
      </c>
      <c r="C413" s="98" t="s">
        <v>213</v>
      </c>
      <c r="D413" s="39">
        <v>20115.2</v>
      </c>
      <c r="E413" s="39">
        <v>20158.8</v>
      </c>
      <c r="F413" s="39">
        <v>20219.5</v>
      </c>
    </row>
    <row r="414" spans="1:7" ht="52.5" customHeight="1">
      <c r="A414" s="74">
        <v>920123490</v>
      </c>
      <c r="B414" s="82"/>
      <c r="C414" s="54" t="s">
        <v>533</v>
      </c>
      <c r="D414" s="39">
        <f>D415</f>
        <v>0</v>
      </c>
      <c r="E414" s="39">
        <f t="shared" ref="E414:F414" si="127">E415</f>
        <v>0</v>
      </c>
      <c r="F414" s="39">
        <f t="shared" si="127"/>
        <v>55</v>
      </c>
    </row>
    <row r="415" spans="1:7" ht="38.25">
      <c r="A415" s="74">
        <v>920123490</v>
      </c>
      <c r="B415" s="82" t="s">
        <v>212</v>
      </c>
      <c r="C415" s="98" t="s">
        <v>213</v>
      </c>
      <c r="D415" s="39">
        <v>0</v>
      </c>
      <c r="E415" s="39">
        <v>0</v>
      </c>
      <c r="F415" s="39">
        <v>55</v>
      </c>
    </row>
    <row r="416" spans="1:7" ht="63.75">
      <c r="A416" s="74">
        <v>920123495</v>
      </c>
      <c r="B416" s="82"/>
      <c r="C416" s="54" t="s">
        <v>600</v>
      </c>
      <c r="D416" s="39">
        <f>D417</f>
        <v>2182.4</v>
      </c>
      <c r="E416" s="39">
        <f>E417</f>
        <v>154.9</v>
      </c>
      <c r="F416" s="39">
        <f>F417</f>
        <v>0</v>
      </c>
    </row>
    <row r="417" spans="1:6" ht="38.25">
      <c r="A417" s="74">
        <v>920123495</v>
      </c>
      <c r="B417" s="82" t="s">
        <v>212</v>
      </c>
      <c r="C417" s="98" t="s">
        <v>213</v>
      </c>
      <c r="D417" s="39">
        <f>2116.9+65.5</f>
        <v>2182.4</v>
      </c>
      <c r="E417" s="39">
        <v>154.9</v>
      </c>
      <c r="F417" s="39">
        <v>0</v>
      </c>
    </row>
    <row r="418" spans="1:6" ht="77.25" customHeight="1">
      <c r="A418" s="73" t="s">
        <v>72</v>
      </c>
      <c r="B418" s="16"/>
      <c r="C418" s="53" t="s">
        <v>621</v>
      </c>
      <c r="D418" s="96">
        <f>D419+D423</f>
        <v>244</v>
      </c>
      <c r="E418" s="96">
        <f t="shared" ref="E418:F418" si="128">E419+E423</f>
        <v>84</v>
      </c>
      <c r="F418" s="96">
        <f t="shared" si="128"/>
        <v>84</v>
      </c>
    </row>
    <row r="419" spans="1:6" ht="51">
      <c r="A419" s="52" t="s">
        <v>73</v>
      </c>
      <c r="B419" s="16"/>
      <c r="C419" s="60" t="s">
        <v>188</v>
      </c>
      <c r="D419" s="58">
        <f t="shared" ref="D419:F420" si="129">D420</f>
        <v>34</v>
      </c>
      <c r="E419" s="58">
        <f t="shared" si="129"/>
        <v>34</v>
      </c>
      <c r="F419" s="58">
        <f t="shared" si="129"/>
        <v>34</v>
      </c>
    </row>
    <row r="420" spans="1:6" ht="38.25">
      <c r="A420" s="21" t="s">
        <v>227</v>
      </c>
      <c r="B420" s="82"/>
      <c r="C420" s="98" t="s">
        <v>344</v>
      </c>
      <c r="D420" s="41">
        <f>D421</f>
        <v>34</v>
      </c>
      <c r="E420" s="41">
        <f t="shared" si="129"/>
        <v>34</v>
      </c>
      <c r="F420" s="41">
        <f t="shared" si="129"/>
        <v>34</v>
      </c>
    </row>
    <row r="421" spans="1:6" ht="63.75">
      <c r="A421" s="21" t="s">
        <v>534</v>
      </c>
      <c r="B421" s="16"/>
      <c r="C421" s="98" t="s">
        <v>345</v>
      </c>
      <c r="D421" s="41">
        <f>D422</f>
        <v>34</v>
      </c>
      <c r="E421" s="41">
        <f>E422</f>
        <v>34</v>
      </c>
      <c r="F421" s="41">
        <f>F422</f>
        <v>34</v>
      </c>
    </row>
    <row r="422" spans="1:6" ht="25.5">
      <c r="A422" s="21" t="s">
        <v>534</v>
      </c>
      <c r="B422" s="82" t="s">
        <v>65</v>
      </c>
      <c r="C422" s="55" t="s">
        <v>131</v>
      </c>
      <c r="D422" s="41">
        <v>34</v>
      </c>
      <c r="E422" s="41">
        <v>34</v>
      </c>
      <c r="F422" s="41">
        <v>34</v>
      </c>
    </row>
    <row r="423" spans="1:6" ht="63.75">
      <c r="A423" s="52" t="s">
        <v>535</v>
      </c>
      <c r="B423" s="16"/>
      <c r="C423" s="48" t="s">
        <v>180</v>
      </c>
      <c r="D423" s="93">
        <f>D424+D429</f>
        <v>210</v>
      </c>
      <c r="E423" s="93">
        <f t="shared" ref="E423:F423" si="130">E424+E429</f>
        <v>50</v>
      </c>
      <c r="F423" s="93">
        <f t="shared" si="130"/>
        <v>50</v>
      </c>
    </row>
    <row r="424" spans="1:6" ht="51">
      <c r="A424" s="21" t="s">
        <v>536</v>
      </c>
      <c r="B424" s="16"/>
      <c r="C424" s="99" t="s">
        <v>317</v>
      </c>
      <c r="D424" s="39">
        <f>D425+D427</f>
        <v>170</v>
      </c>
      <c r="E424" s="39">
        <f>E425+E427</f>
        <v>50</v>
      </c>
      <c r="F424" s="39">
        <f>F425+F427</f>
        <v>50</v>
      </c>
    </row>
    <row r="425" spans="1:6" ht="77.25" customHeight="1">
      <c r="A425" s="74">
        <v>1020123085</v>
      </c>
      <c r="B425" s="16"/>
      <c r="C425" s="98" t="s">
        <v>181</v>
      </c>
      <c r="D425" s="41">
        <f>D426</f>
        <v>5</v>
      </c>
      <c r="E425" s="41">
        <f>E426</f>
        <v>5</v>
      </c>
      <c r="F425" s="41">
        <f>F426</f>
        <v>5</v>
      </c>
    </row>
    <row r="426" spans="1:6" ht="38.25">
      <c r="A426" s="74">
        <v>1020123085</v>
      </c>
      <c r="B426" s="82" t="s">
        <v>212</v>
      </c>
      <c r="C426" s="98" t="s">
        <v>213</v>
      </c>
      <c r="D426" s="41">
        <v>5</v>
      </c>
      <c r="E426" s="41">
        <v>5</v>
      </c>
      <c r="F426" s="41">
        <v>5</v>
      </c>
    </row>
    <row r="427" spans="1:6">
      <c r="A427" s="74">
        <v>1020123086</v>
      </c>
      <c r="B427" s="16"/>
      <c r="C427" s="98" t="s">
        <v>182</v>
      </c>
      <c r="D427" s="41">
        <f>D428</f>
        <v>165</v>
      </c>
      <c r="E427" s="41">
        <f>E428</f>
        <v>45</v>
      </c>
      <c r="F427" s="41">
        <f>F428</f>
        <v>45</v>
      </c>
    </row>
    <row r="428" spans="1:6" ht="38.25">
      <c r="A428" s="74">
        <v>1020123086</v>
      </c>
      <c r="B428" s="82" t="s">
        <v>212</v>
      </c>
      <c r="C428" s="98" t="s">
        <v>213</v>
      </c>
      <c r="D428" s="41">
        <f>35+130</f>
        <v>165</v>
      </c>
      <c r="E428" s="41">
        <v>45</v>
      </c>
      <c r="F428" s="41">
        <v>45</v>
      </c>
    </row>
    <row r="429" spans="1:6" ht="53.25" customHeight="1">
      <c r="A429" s="52" t="s">
        <v>664</v>
      </c>
      <c r="B429" s="82"/>
      <c r="C429" s="98" t="s">
        <v>698</v>
      </c>
      <c r="D429" s="41">
        <f>D430</f>
        <v>40</v>
      </c>
      <c r="E429" s="41">
        <f t="shared" ref="E429:F429" si="131">E430</f>
        <v>0</v>
      </c>
      <c r="F429" s="41">
        <f t="shared" si="131"/>
        <v>0</v>
      </c>
    </row>
    <row r="430" spans="1:6" ht="30" customHeight="1">
      <c r="A430" s="74">
        <v>1030300000</v>
      </c>
      <c r="B430" s="82"/>
      <c r="C430" s="98" t="s">
        <v>668</v>
      </c>
      <c r="D430" s="41">
        <f>D431+D433</f>
        <v>40</v>
      </c>
      <c r="E430" s="41">
        <f t="shared" ref="E430:F430" si="132">E431+E433</f>
        <v>0</v>
      </c>
      <c r="F430" s="41">
        <f t="shared" si="132"/>
        <v>0</v>
      </c>
    </row>
    <row r="431" spans="1:6" ht="38.25">
      <c r="A431" s="74">
        <v>1030323090</v>
      </c>
      <c r="B431" s="82"/>
      <c r="C431" s="98" t="s">
        <v>665</v>
      </c>
      <c r="D431" s="41">
        <f>D432</f>
        <v>10</v>
      </c>
      <c r="E431" s="41">
        <f t="shared" ref="E431:F431" si="133">E432</f>
        <v>0</v>
      </c>
      <c r="F431" s="41">
        <f t="shared" si="133"/>
        <v>0</v>
      </c>
    </row>
    <row r="432" spans="1:6" ht="38.25">
      <c r="A432" s="74">
        <v>1030323090</v>
      </c>
      <c r="B432" s="82" t="s">
        <v>212</v>
      </c>
      <c r="C432" s="98" t="s">
        <v>213</v>
      </c>
      <c r="D432" s="41">
        <v>10</v>
      </c>
      <c r="E432" s="41">
        <v>0</v>
      </c>
      <c r="F432" s="41">
        <v>0</v>
      </c>
    </row>
    <row r="433" spans="1:6" ht="38.25">
      <c r="A433" s="74">
        <v>1030323092</v>
      </c>
      <c r="B433" s="82"/>
      <c r="C433" s="98" t="s">
        <v>666</v>
      </c>
      <c r="D433" s="41">
        <f>D434</f>
        <v>30</v>
      </c>
      <c r="E433" s="41">
        <f t="shared" ref="E433:F433" si="134">E434</f>
        <v>0</v>
      </c>
      <c r="F433" s="41">
        <f t="shared" si="134"/>
        <v>0</v>
      </c>
    </row>
    <row r="434" spans="1:6" ht="38.25">
      <c r="A434" s="74">
        <v>1030323092</v>
      </c>
      <c r="B434" s="82" t="s">
        <v>212</v>
      </c>
      <c r="C434" s="98" t="s">
        <v>213</v>
      </c>
      <c r="D434" s="41">
        <v>30</v>
      </c>
      <c r="E434" s="41">
        <v>0</v>
      </c>
      <c r="F434" s="41">
        <v>0</v>
      </c>
    </row>
    <row r="435" spans="1:6" ht="90" customHeight="1">
      <c r="A435" s="73" t="s">
        <v>51</v>
      </c>
      <c r="B435" s="16"/>
      <c r="C435" s="64" t="s">
        <v>622</v>
      </c>
      <c r="D435" s="59">
        <f>D436+D442+D447+D453</f>
        <v>2334.7999999999997</v>
      </c>
      <c r="E435" s="59">
        <f>E436+E442+E447+E453</f>
        <v>1500</v>
      </c>
      <c r="F435" s="59">
        <f>F436+F442+F447+F453</f>
        <v>1500</v>
      </c>
    </row>
    <row r="436" spans="1:6" ht="51">
      <c r="A436" s="52" t="s">
        <v>52</v>
      </c>
      <c r="B436" s="16"/>
      <c r="C436" s="48" t="s">
        <v>204</v>
      </c>
      <c r="D436" s="93">
        <f>D438+D440</f>
        <v>337.4</v>
      </c>
      <c r="E436" s="93">
        <f>E438+E440</f>
        <v>80</v>
      </c>
      <c r="F436" s="93">
        <f>F438+F440</f>
        <v>80</v>
      </c>
    </row>
    <row r="437" spans="1:6" ht="63.75">
      <c r="A437" s="21" t="s">
        <v>219</v>
      </c>
      <c r="B437" s="16"/>
      <c r="C437" s="99" t="s">
        <v>295</v>
      </c>
      <c r="D437" s="39">
        <f>D438+D440</f>
        <v>337.4</v>
      </c>
      <c r="E437" s="39">
        <f t="shared" ref="E437:F437" si="135">E438+E440</f>
        <v>80</v>
      </c>
      <c r="F437" s="39">
        <f t="shared" si="135"/>
        <v>80</v>
      </c>
    </row>
    <row r="438" spans="1:6" ht="25.5">
      <c r="A438" s="74">
        <v>1110123305</v>
      </c>
      <c r="B438" s="16"/>
      <c r="C438" s="99" t="s">
        <v>218</v>
      </c>
      <c r="D438" s="39">
        <f>D439</f>
        <v>309.7</v>
      </c>
      <c r="E438" s="39">
        <f>E439</f>
        <v>40</v>
      </c>
      <c r="F438" s="39">
        <f>F439</f>
        <v>40</v>
      </c>
    </row>
    <row r="439" spans="1:6" ht="38.25">
      <c r="A439" s="74">
        <v>1110123305</v>
      </c>
      <c r="B439" s="82" t="s">
        <v>212</v>
      </c>
      <c r="C439" s="98" t="s">
        <v>213</v>
      </c>
      <c r="D439" s="39">
        <f>297.4+12.3</f>
        <v>309.7</v>
      </c>
      <c r="E439" s="39">
        <v>40</v>
      </c>
      <c r="F439" s="39">
        <v>40</v>
      </c>
    </row>
    <row r="440" spans="1:6" ht="51">
      <c r="A440" s="74">
        <v>1110123310</v>
      </c>
      <c r="B440" s="16"/>
      <c r="C440" s="99" t="s">
        <v>206</v>
      </c>
      <c r="D440" s="41">
        <f>D441</f>
        <v>27.7</v>
      </c>
      <c r="E440" s="41">
        <f>E441</f>
        <v>40</v>
      </c>
      <c r="F440" s="41">
        <f>F441</f>
        <v>40</v>
      </c>
    </row>
    <row r="441" spans="1:6" ht="38.25">
      <c r="A441" s="74">
        <v>1110123310</v>
      </c>
      <c r="B441" s="82" t="s">
        <v>212</v>
      </c>
      <c r="C441" s="98" t="s">
        <v>213</v>
      </c>
      <c r="D441" s="41">
        <f>40-12.3</f>
        <v>27.7</v>
      </c>
      <c r="E441" s="41">
        <v>40</v>
      </c>
      <c r="F441" s="41">
        <v>40</v>
      </c>
    </row>
    <row r="442" spans="1:6" ht="38.25">
      <c r="A442" s="52" t="s">
        <v>53</v>
      </c>
      <c r="B442" s="82"/>
      <c r="C442" s="48" t="s">
        <v>200</v>
      </c>
      <c r="D442" s="41">
        <f t="shared" ref="D442:F443" si="136">D443</f>
        <v>1972.3999999999999</v>
      </c>
      <c r="E442" s="41">
        <f t="shared" si="136"/>
        <v>1400</v>
      </c>
      <c r="F442" s="41">
        <f t="shared" si="136"/>
        <v>1400</v>
      </c>
    </row>
    <row r="443" spans="1:6" ht="51">
      <c r="A443" s="21" t="s">
        <v>220</v>
      </c>
      <c r="B443" s="82"/>
      <c r="C443" s="99" t="s">
        <v>306</v>
      </c>
      <c r="D443" s="41">
        <f t="shared" si="136"/>
        <v>1972.3999999999999</v>
      </c>
      <c r="E443" s="41">
        <f t="shared" si="136"/>
        <v>1400</v>
      </c>
      <c r="F443" s="41">
        <f t="shared" si="136"/>
        <v>1400</v>
      </c>
    </row>
    <row r="444" spans="1:6" ht="38.25">
      <c r="A444" s="74">
        <v>1120123315</v>
      </c>
      <c r="B444" s="16"/>
      <c r="C444" s="98" t="s">
        <v>537</v>
      </c>
      <c r="D444" s="41">
        <f>SUM(D445:D446)</f>
        <v>1972.3999999999999</v>
      </c>
      <c r="E444" s="41">
        <f>SUM(E445:E446)</f>
        <v>1400</v>
      </c>
      <c r="F444" s="41">
        <f>SUM(F445:F446)</f>
        <v>1400</v>
      </c>
    </row>
    <row r="445" spans="1:6" ht="25.5">
      <c r="A445" s="74">
        <v>1120123315</v>
      </c>
      <c r="B445" s="82" t="s">
        <v>65</v>
      </c>
      <c r="C445" s="55" t="s">
        <v>131</v>
      </c>
      <c r="D445" s="41">
        <v>118.1</v>
      </c>
      <c r="E445" s="41">
        <v>51.2</v>
      </c>
      <c r="F445" s="41">
        <v>51.2</v>
      </c>
    </row>
    <row r="446" spans="1:6" ht="38.25">
      <c r="A446" s="74">
        <v>1120123315</v>
      </c>
      <c r="B446" s="82" t="s">
        <v>212</v>
      </c>
      <c r="C446" s="98" t="s">
        <v>213</v>
      </c>
      <c r="D446" s="41">
        <v>1854.3</v>
      </c>
      <c r="E446" s="41">
        <v>1348.8</v>
      </c>
      <c r="F446" s="41">
        <v>1348.8</v>
      </c>
    </row>
    <row r="447" spans="1:6" ht="39" customHeight="1">
      <c r="A447" s="52" t="s">
        <v>54</v>
      </c>
      <c r="B447" s="16"/>
      <c r="C447" s="48" t="s">
        <v>253</v>
      </c>
      <c r="D447" s="93">
        <f>D448</f>
        <v>10</v>
      </c>
      <c r="E447" s="93">
        <f>E448</f>
        <v>5</v>
      </c>
      <c r="F447" s="93">
        <f>F448</f>
        <v>5</v>
      </c>
    </row>
    <row r="448" spans="1:6" ht="63.75">
      <c r="A448" s="21" t="s">
        <v>221</v>
      </c>
      <c r="B448" s="16"/>
      <c r="C448" s="99" t="s">
        <v>315</v>
      </c>
      <c r="D448" s="39">
        <f>D449+D451</f>
        <v>10</v>
      </c>
      <c r="E448" s="39">
        <f>E449+E451</f>
        <v>5</v>
      </c>
      <c r="F448" s="39">
        <f>F449+F451</f>
        <v>5</v>
      </c>
    </row>
    <row r="449" spans="1:7" ht="25.5">
      <c r="A449" s="74">
        <v>1130123320</v>
      </c>
      <c r="B449" s="16"/>
      <c r="C449" s="98" t="s">
        <v>254</v>
      </c>
      <c r="D449" s="41">
        <f>D450</f>
        <v>6.8</v>
      </c>
      <c r="E449" s="41">
        <f>E450</f>
        <v>4</v>
      </c>
      <c r="F449" s="41">
        <f>F450</f>
        <v>4</v>
      </c>
    </row>
    <row r="450" spans="1:7" ht="38.25">
      <c r="A450" s="74">
        <v>1130123320</v>
      </c>
      <c r="B450" s="82" t="s">
        <v>212</v>
      </c>
      <c r="C450" s="98" t="s">
        <v>213</v>
      </c>
      <c r="D450" s="41">
        <f>8-1.2</f>
        <v>6.8</v>
      </c>
      <c r="E450" s="41">
        <v>4</v>
      </c>
      <c r="F450" s="41">
        <v>4</v>
      </c>
    </row>
    <row r="451" spans="1:7" ht="24" customHeight="1">
      <c r="A451" s="74">
        <v>1130123325</v>
      </c>
      <c r="B451" s="16"/>
      <c r="C451" s="98" t="s">
        <v>222</v>
      </c>
      <c r="D451" s="41">
        <f>D452</f>
        <v>3.2</v>
      </c>
      <c r="E451" s="41">
        <f>E452</f>
        <v>1</v>
      </c>
      <c r="F451" s="41">
        <f>F452</f>
        <v>1</v>
      </c>
    </row>
    <row r="452" spans="1:7" ht="38.25">
      <c r="A452" s="74">
        <v>1130123325</v>
      </c>
      <c r="B452" s="82" t="s">
        <v>212</v>
      </c>
      <c r="C452" s="98" t="s">
        <v>213</v>
      </c>
      <c r="D452" s="41">
        <f>2+1.2</f>
        <v>3.2</v>
      </c>
      <c r="E452" s="41">
        <v>1</v>
      </c>
      <c r="F452" s="41">
        <v>1</v>
      </c>
    </row>
    <row r="453" spans="1:7" ht="51">
      <c r="A453" s="52" t="s">
        <v>55</v>
      </c>
      <c r="B453" s="16"/>
      <c r="C453" s="48" t="s">
        <v>205</v>
      </c>
      <c r="D453" s="93">
        <f>D454</f>
        <v>15</v>
      </c>
      <c r="E453" s="93">
        <f t="shared" ref="E453:F453" si="137">E454</f>
        <v>15</v>
      </c>
      <c r="F453" s="93">
        <f t="shared" si="137"/>
        <v>15</v>
      </c>
    </row>
    <row r="454" spans="1:7" ht="51">
      <c r="A454" s="21" t="s">
        <v>294</v>
      </c>
      <c r="B454" s="82"/>
      <c r="C454" s="98" t="s">
        <v>223</v>
      </c>
      <c r="D454" s="41">
        <f>D455+D457</f>
        <v>15</v>
      </c>
      <c r="E454" s="41">
        <f t="shared" ref="E454:F454" si="138">E455+E457</f>
        <v>15</v>
      </c>
      <c r="F454" s="41">
        <f t="shared" si="138"/>
        <v>15</v>
      </c>
    </row>
    <row r="455" spans="1:7" ht="25.5">
      <c r="A455" s="74">
        <v>1140123330</v>
      </c>
      <c r="B455" s="16"/>
      <c r="C455" s="98" t="s">
        <v>194</v>
      </c>
      <c r="D455" s="41">
        <f>D456</f>
        <v>12</v>
      </c>
      <c r="E455" s="41">
        <f>E456</f>
        <v>12</v>
      </c>
      <c r="F455" s="41">
        <f>F456</f>
        <v>12</v>
      </c>
    </row>
    <row r="456" spans="1:7" ht="38.25">
      <c r="A456" s="74">
        <v>1140123330</v>
      </c>
      <c r="B456" s="82" t="s">
        <v>212</v>
      </c>
      <c r="C456" s="98" t="s">
        <v>213</v>
      </c>
      <c r="D456" s="41">
        <v>12</v>
      </c>
      <c r="E456" s="41">
        <v>12</v>
      </c>
      <c r="F456" s="41">
        <v>12</v>
      </c>
    </row>
    <row r="457" spans="1:7" ht="29.25" customHeight="1">
      <c r="A457" s="74">
        <v>1140123335</v>
      </c>
      <c r="B457" s="16"/>
      <c r="C457" s="98" t="s">
        <v>224</v>
      </c>
      <c r="D457" s="41">
        <f>D458</f>
        <v>3</v>
      </c>
      <c r="E457" s="41">
        <f>E458</f>
        <v>3</v>
      </c>
      <c r="F457" s="41">
        <f>F458</f>
        <v>3</v>
      </c>
    </row>
    <row r="458" spans="1:7" ht="38.25">
      <c r="A458" s="74">
        <v>1140123335</v>
      </c>
      <c r="B458" s="82" t="s">
        <v>212</v>
      </c>
      <c r="C458" s="98" t="s">
        <v>213</v>
      </c>
      <c r="D458" s="41">
        <v>3</v>
      </c>
      <c r="E458" s="41">
        <v>3</v>
      </c>
      <c r="F458" s="41">
        <v>3</v>
      </c>
    </row>
    <row r="459" spans="1:7" ht="77.25" customHeight="1">
      <c r="A459" s="73" t="s">
        <v>56</v>
      </c>
      <c r="B459" s="16"/>
      <c r="C459" s="53" t="s">
        <v>623</v>
      </c>
      <c r="D459" s="96">
        <f>D460+D472+D479+D488</f>
        <v>30614.400000000001</v>
      </c>
      <c r="E459" s="96">
        <f t="shared" ref="E459:F459" si="139">E460+E472+E479+E488</f>
        <v>16307</v>
      </c>
      <c r="F459" s="96">
        <f t="shared" si="139"/>
        <v>16307</v>
      </c>
      <c r="G459" s="103"/>
    </row>
    <row r="460" spans="1:7" ht="38.25">
      <c r="A460" s="52" t="s">
        <v>57</v>
      </c>
      <c r="B460" s="47"/>
      <c r="C460" s="48" t="s">
        <v>758</v>
      </c>
      <c r="D460" s="93">
        <f>D461+D469</f>
        <v>10813.7</v>
      </c>
      <c r="E460" s="93">
        <f t="shared" ref="E460:F460" si="140">E461+E469</f>
        <v>5450</v>
      </c>
      <c r="F460" s="93">
        <f t="shared" si="140"/>
        <v>5450</v>
      </c>
      <c r="G460" s="103"/>
    </row>
    <row r="461" spans="1:7" ht="38.25">
      <c r="A461" s="21" t="s">
        <v>238</v>
      </c>
      <c r="B461" s="47"/>
      <c r="C461" s="99" t="s">
        <v>653</v>
      </c>
      <c r="D461" s="93">
        <f>D462+D464+D467</f>
        <v>10463.700000000001</v>
      </c>
      <c r="E461" s="93">
        <f t="shared" ref="E461:F461" si="141">E462+E464+E467</f>
        <v>5100</v>
      </c>
      <c r="F461" s="93">
        <f t="shared" si="141"/>
        <v>5100</v>
      </c>
    </row>
    <row r="462" spans="1:7" ht="42" customHeight="1">
      <c r="A462" s="74">
        <v>1210123505</v>
      </c>
      <c r="B462" s="21"/>
      <c r="C462" s="98" t="s">
        <v>538</v>
      </c>
      <c r="D462" s="41">
        <f>D463</f>
        <v>4068.2000000000003</v>
      </c>
      <c r="E462" s="41">
        <f>E463</f>
        <v>1750</v>
      </c>
      <c r="F462" s="41">
        <f>F463</f>
        <v>1750</v>
      </c>
    </row>
    <row r="463" spans="1:7" ht="38.25">
      <c r="A463" s="74">
        <v>1210123505</v>
      </c>
      <c r="B463" s="82" t="s">
        <v>212</v>
      </c>
      <c r="C463" s="98" t="s">
        <v>213</v>
      </c>
      <c r="D463" s="39">
        <f>4057.1+14.3-3.2</f>
        <v>4068.2000000000003</v>
      </c>
      <c r="E463" s="39">
        <v>1750</v>
      </c>
      <c r="F463" s="39">
        <v>1750</v>
      </c>
    </row>
    <row r="464" spans="1:7" ht="63" customHeight="1">
      <c r="A464" s="74">
        <v>1210123510</v>
      </c>
      <c r="B464" s="21"/>
      <c r="C464" s="98" t="s">
        <v>239</v>
      </c>
      <c r="D464" s="41">
        <f>SUM(D465:D466)</f>
        <v>5263.6</v>
      </c>
      <c r="E464" s="41">
        <f t="shared" ref="E464:F464" si="142">SUM(E465:E466)</f>
        <v>2850</v>
      </c>
      <c r="F464" s="41">
        <f t="shared" si="142"/>
        <v>2850</v>
      </c>
    </row>
    <row r="465" spans="1:7" ht="38.25">
      <c r="A465" s="74">
        <v>1210123510</v>
      </c>
      <c r="B465" s="82" t="s">
        <v>212</v>
      </c>
      <c r="C465" s="98" t="s">
        <v>213</v>
      </c>
      <c r="D465" s="41">
        <f>5538.8-14.3-63.9-0.2-218+15+6</f>
        <v>5263.4000000000005</v>
      </c>
      <c r="E465" s="41">
        <v>2850</v>
      </c>
      <c r="F465" s="41">
        <v>2850</v>
      </c>
    </row>
    <row r="466" spans="1:7">
      <c r="A466" s="74">
        <v>1210123510</v>
      </c>
      <c r="B466" s="82" t="s">
        <v>716</v>
      </c>
      <c r="C466" s="98" t="s">
        <v>717</v>
      </c>
      <c r="D466" s="41">
        <v>0.2</v>
      </c>
      <c r="E466" s="41">
        <v>0</v>
      </c>
      <c r="F466" s="41">
        <v>0</v>
      </c>
    </row>
    <row r="467" spans="1:7" ht="25.5">
      <c r="A467" s="74">
        <v>1210123515</v>
      </c>
      <c r="B467" s="16"/>
      <c r="C467" s="98" t="s">
        <v>23</v>
      </c>
      <c r="D467" s="41">
        <f>D468</f>
        <v>1131.9000000000001</v>
      </c>
      <c r="E467" s="41">
        <f>E468</f>
        <v>500</v>
      </c>
      <c r="F467" s="41">
        <f>F468</f>
        <v>500</v>
      </c>
    </row>
    <row r="468" spans="1:7" ht="38.25">
      <c r="A468" s="74">
        <v>1210123515</v>
      </c>
      <c r="B468" s="82" t="s">
        <v>212</v>
      </c>
      <c r="C468" s="98" t="s">
        <v>213</v>
      </c>
      <c r="D468" s="41">
        <v>1131.9000000000001</v>
      </c>
      <c r="E468" s="41">
        <v>500</v>
      </c>
      <c r="F468" s="41">
        <v>500</v>
      </c>
    </row>
    <row r="469" spans="1:7" ht="25.5">
      <c r="A469" s="21" t="s">
        <v>292</v>
      </c>
      <c r="B469" s="82"/>
      <c r="C469" s="99" t="s">
        <v>293</v>
      </c>
      <c r="D469" s="41">
        <f>D470</f>
        <v>350</v>
      </c>
      <c r="E469" s="41">
        <f t="shared" ref="E469:F469" si="143">E470</f>
        <v>350</v>
      </c>
      <c r="F469" s="41">
        <f t="shared" si="143"/>
        <v>350</v>
      </c>
    </row>
    <row r="470" spans="1:7" ht="25.5">
      <c r="A470" s="74">
        <v>1210223520</v>
      </c>
      <c r="B470" s="16"/>
      <c r="C470" s="98" t="s">
        <v>240</v>
      </c>
      <c r="D470" s="41">
        <f>D471</f>
        <v>350</v>
      </c>
      <c r="E470" s="41">
        <f>E471</f>
        <v>350</v>
      </c>
      <c r="F470" s="41">
        <f>F471</f>
        <v>350</v>
      </c>
    </row>
    <row r="471" spans="1:7" ht="38.25">
      <c r="A471" s="74">
        <v>1210223520</v>
      </c>
      <c r="B471" s="82" t="s">
        <v>212</v>
      </c>
      <c r="C471" s="98" t="s">
        <v>213</v>
      </c>
      <c r="D471" s="39">
        <v>350</v>
      </c>
      <c r="E471" s="39">
        <v>350</v>
      </c>
      <c r="F471" s="39">
        <v>350</v>
      </c>
    </row>
    <row r="472" spans="1:7" ht="25.5">
      <c r="A472" s="52" t="s">
        <v>58</v>
      </c>
      <c r="B472" s="47"/>
      <c r="C472" s="48" t="s">
        <v>26</v>
      </c>
      <c r="D472" s="93">
        <f>D473+D477</f>
        <v>1963.8</v>
      </c>
      <c r="E472" s="93">
        <f t="shared" ref="E472:F472" si="144">E473+E477</f>
        <v>1325</v>
      </c>
      <c r="F472" s="93">
        <f t="shared" si="144"/>
        <v>1325</v>
      </c>
      <c r="G472" s="103"/>
    </row>
    <row r="473" spans="1:7">
      <c r="A473" s="21" t="s">
        <v>241</v>
      </c>
      <c r="B473" s="47"/>
      <c r="C473" s="99" t="s">
        <v>242</v>
      </c>
      <c r="D473" s="39">
        <f t="shared" ref="D473:F474" si="145">D474</f>
        <v>1963.8</v>
      </c>
      <c r="E473" s="39">
        <f t="shared" si="145"/>
        <v>850</v>
      </c>
      <c r="F473" s="39">
        <f t="shared" si="145"/>
        <v>850</v>
      </c>
    </row>
    <row r="474" spans="1:7" ht="25.5">
      <c r="A474" s="79">
        <v>1220123525</v>
      </c>
      <c r="B474" s="16"/>
      <c r="C474" s="98" t="s">
        <v>191</v>
      </c>
      <c r="D474" s="41">
        <f t="shared" si="145"/>
        <v>1963.8</v>
      </c>
      <c r="E474" s="41">
        <f t="shared" si="145"/>
        <v>850</v>
      </c>
      <c r="F474" s="41">
        <f t="shared" si="145"/>
        <v>850</v>
      </c>
    </row>
    <row r="475" spans="1:7" ht="38.25">
      <c r="A475" s="79">
        <v>1220123525</v>
      </c>
      <c r="B475" s="82" t="s">
        <v>212</v>
      </c>
      <c r="C475" s="98" t="s">
        <v>213</v>
      </c>
      <c r="D475" s="41">
        <f>1972.7-8.9</f>
        <v>1963.8</v>
      </c>
      <c r="E475" s="41">
        <v>850</v>
      </c>
      <c r="F475" s="41">
        <v>850</v>
      </c>
    </row>
    <row r="476" spans="1:7" ht="40.5" customHeight="1">
      <c r="A476" s="21" t="s">
        <v>540</v>
      </c>
      <c r="B476" s="82"/>
      <c r="C476" s="99" t="s">
        <v>539</v>
      </c>
      <c r="D476" s="41">
        <f>D477</f>
        <v>0</v>
      </c>
      <c r="E476" s="41">
        <f t="shared" ref="E476:F476" si="146">E477</f>
        <v>475</v>
      </c>
      <c r="F476" s="41">
        <f t="shared" si="146"/>
        <v>475</v>
      </c>
    </row>
    <row r="477" spans="1:7" ht="25.5">
      <c r="A477" s="79">
        <v>1220223530</v>
      </c>
      <c r="B477" s="16"/>
      <c r="C477" s="98" t="s">
        <v>192</v>
      </c>
      <c r="D477" s="41">
        <f>D478</f>
        <v>0</v>
      </c>
      <c r="E477" s="41">
        <f>E478</f>
        <v>475</v>
      </c>
      <c r="F477" s="41">
        <f>F478</f>
        <v>475</v>
      </c>
    </row>
    <row r="478" spans="1:7" ht="38.25">
      <c r="A478" s="79">
        <v>1220223530</v>
      </c>
      <c r="B478" s="82" t="s">
        <v>212</v>
      </c>
      <c r="C478" s="98" t="s">
        <v>213</v>
      </c>
      <c r="D478" s="39">
        <v>0</v>
      </c>
      <c r="E478" s="39">
        <v>475</v>
      </c>
      <c r="F478" s="39">
        <v>475</v>
      </c>
    </row>
    <row r="479" spans="1:7" ht="38.25">
      <c r="A479" s="52" t="s">
        <v>59</v>
      </c>
      <c r="B479" s="47"/>
      <c r="C479" s="48" t="s">
        <v>654</v>
      </c>
      <c r="D479" s="93">
        <f>D480</f>
        <v>4668.4000000000005</v>
      </c>
      <c r="E479" s="93">
        <f t="shared" ref="E479:F479" si="147">E480</f>
        <v>4407</v>
      </c>
      <c r="F479" s="93">
        <f t="shared" si="147"/>
        <v>4407</v>
      </c>
    </row>
    <row r="480" spans="1:7" ht="39.75" customHeight="1">
      <c r="A480" s="21" t="s">
        <v>243</v>
      </c>
      <c r="B480" s="47"/>
      <c r="C480" s="99" t="s">
        <v>244</v>
      </c>
      <c r="D480" s="39">
        <f>D481+D484+D486</f>
        <v>4668.4000000000005</v>
      </c>
      <c r="E480" s="39">
        <f t="shared" ref="E480:F480" si="148">E481+E484+E486</f>
        <v>4407</v>
      </c>
      <c r="F480" s="39">
        <f t="shared" si="148"/>
        <v>4407</v>
      </c>
    </row>
    <row r="481" spans="1:6" ht="25.5">
      <c r="A481" s="21" t="s">
        <v>541</v>
      </c>
      <c r="B481" s="16"/>
      <c r="C481" s="98" t="s">
        <v>307</v>
      </c>
      <c r="D481" s="41">
        <f>SUM(D482:D483)</f>
        <v>3681.3</v>
      </c>
      <c r="E481" s="41">
        <f>E482</f>
        <v>3800</v>
      </c>
      <c r="F481" s="41">
        <f>F482</f>
        <v>3800</v>
      </c>
    </row>
    <row r="482" spans="1:6" ht="38.25">
      <c r="A482" s="21" t="s">
        <v>541</v>
      </c>
      <c r="B482" s="82" t="s">
        <v>212</v>
      </c>
      <c r="C482" s="98" t="s">
        <v>213</v>
      </c>
      <c r="D482" s="41">
        <f>3681.3-0.6</f>
        <v>3680.7000000000003</v>
      </c>
      <c r="E482" s="41">
        <v>3800</v>
      </c>
      <c r="F482" s="41">
        <v>3800</v>
      </c>
    </row>
    <row r="483" spans="1:6">
      <c r="A483" s="21" t="s">
        <v>541</v>
      </c>
      <c r="B483" s="82" t="s">
        <v>716</v>
      </c>
      <c r="C483" s="98" t="s">
        <v>717</v>
      </c>
      <c r="D483" s="41">
        <v>0.6</v>
      </c>
      <c r="E483" s="41">
        <v>0</v>
      </c>
      <c r="F483" s="41">
        <v>0</v>
      </c>
    </row>
    <row r="484" spans="1:6" ht="25.5">
      <c r="A484" s="21" t="s">
        <v>542</v>
      </c>
      <c r="B484" s="16"/>
      <c r="C484" s="98" t="s">
        <v>24</v>
      </c>
      <c r="D484" s="41">
        <f>D485</f>
        <v>980.1</v>
      </c>
      <c r="E484" s="41">
        <f>E485</f>
        <v>600</v>
      </c>
      <c r="F484" s="41">
        <f>F485</f>
        <v>600</v>
      </c>
    </row>
    <row r="485" spans="1:6" ht="38.25">
      <c r="A485" s="21" t="s">
        <v>542</v>
      </c>
      <c r="B485" s="82" t="s">
        <v>212</v>
      </c>
      <c r="C485" s="98" t="s">
        <v>213</v>
      </c>
      <c r="D485" s="41">
        <f>600+380.1</f>
        <v>980.1</v>
      </c>
      <c r="E485" s="41">
        <v>600</v>
      </c>
      <c r="F485" s="41">
        <v>600</v>
      </c>
    </row>
    <row r="486" spans="1:6" ht="25.5">
      <c r="A486" s="21" t="s">
        <v>543</v>
      </c>
      <c r="B486" s="16"/>
      <c r="C486" s="98" t="s">
        <v>193</v>
      </c>
      <c r="D486" s="41">
        <f>D487</f>
        <v>7</v>
      </c>
      <c r="E486" s="41">
        <f>E487</f>
        <v>7</v>
      </c>
      <c r="F486" s="41">
        <f>F487</f>
        <v>7</v>
      </c>
    </row>
    <row r="487" spans="1:6" ht="38.25">
      <c r="A487" s="21" t="s">
        <v>543</v>
      </c>
      <c r="B487" s="82" t="s">
        <v>212</v>
      </c>
      <c r="C487" s="98" t="s">
        <v>213</v>
      </c>
      <c r="D487" s="41">
        <v>7</v>
      </c>
      <c r="E487" s="41">
        <v>7</v>
      </c>
      <c r="F487" s="41">
        <v>7</v>
      </c>
    </row>
    <row r="488" spans="1:6" ht="51">
      <c r="A488" s="52" t="s">
        <v>544</v>
      </c>
      <c r="B488" s="16"/>
      <c r="C488" s="60" t="s">
        <v>545</v>
      </c>
      <c r="D488" s="41">
        <f>D489+D494+D499</f>
        <v>13168.5</v>
      </c>
      <c r="E488" s="41">
        <f>E489+E494+E499</f>
        <v>5125</v>
      </c>
      <c r="F488" s="41">
        <f>F489+F494+F499</f>
        <v>5125</v>
      </c>
    </row>
    <row r="489" spans="1:6" ht="50.25" customHeight="1">
      <c r="A489" s="21" t="s">
        <v>547</v>
      </c>
      <c r="B489" s="16"/>
      <c r="C489" s="99" t="s">
        <v>546</v>
      </c>
      <c r="D489" s="41">
        <f>D490+D492</f>
        <v>0</v>
      </c>
      <c r="E489" s="41">
        <f t="shared" ref="E489:F489" si="149">E490+E492</f>
        <v>265</v>
      </c>
      <c r="F489" s="41">
        <f t="shared" si="149"/>
        <v>265</v>
      </c>
    </row>
    <row r="490" spans="1:6" ht="25.5">
      <c r="A490" s="21" t="s">
        <v>548</v>
      </c>
      <c r="B490" s="16"/>
      <c r="C490" s="98" t="s">
        <v>377</v>
      </c>
      <c r="D490" s="41">
        <f>D491</f>
        <v>0</v>
      </c>
      <c r="E490" s="41">
        <f>E491</f>
        <v>250</v>
      </c>
      <c r="F490" s="41">
        <f>F491</f>
        <v>250</v>
      </c>
    </row>
    <row r="491" spans="1:6" ht="38.25">
      <c r="A491" s="21" t="s">
        <v>548</v>
      </c>
      <c r="B491" s="82" t="s">
        <v>212</v>
      </c>
      <c r="C491" s="98" t="s">
        <v>213</v>
      </c>
      <c r="D491" s="41">
        <v>0</v>
      </c>
      <c r="E491" s="41">
        <v>250</v>
      </c>
      <c r="F491" s="41">
        <v>250</v>
      </c>
    </row>
    <row r="492" spans="1:6" ht="54" customHeight="1">
      <c r="A492" s="21" t="s">
        <v>550</v>
      </c>
      <c r="B492" s="82"/>
      <c r="C492" s="98" t="s">
        <v>549</v>
      </c>
      <c r="D492" s="41">
        <f>D493</f>
        <v>0</v>
      </c>
      <c r="E492" s="41">
        <f t="shared" ref="E492:F492" si="150">E493</f>
        <v>15</v>
      </c>
      <c r="F492" s="41">
        <f t="shared" si="150"/>
        <v>15</v>
      </c>
    </row>
    <row r="493" spans="1:6" ht="38.25">
      <c r="A493" s="21" t="s">
        <v>550</v>
      </c>
      <c r="B493" s="82" t="s">
        <v>212</v>
      </c>
      <c r="C493" s="98" t="s">
        <v>213</v>
      </c>
      <c r="D493" s="41">
        <f>15-15</f>
        <v>0</v>
      </c>
      <c r="E493" s="41">
        <v>15</v>
      </c>
      <c r="F493" s="41">
        <v>15</v>
      </c>
    </row>
    <row r="494" spans="1:6" ht="38.25">
      <c r="A494" s="21" t="s">
        <v>551</v>
      </c>
      <c r="B494" s="16"/>
      <c r="C494" s="99" t="s">
        <v>552</v>
      </c>
      <c r="D494" s="41">
        <f>D495+D497</f>
        <v>962.9</v>
      </c>
      <c r="E494" s="41">
        <f t="shared" ref="E494:F494" si="151">E495+E497</f>
        <v>10</v>
      </c>
      <c r="F494" s="41">
        <f t="shared" si="151"/>
        <v>10</v>
      </c>
    </row>
    <row r="495" spans="1:6" ht="25.5">
      <c r="A495" s="21" t="s">
        <v>657</v>
      </c>
      <c r="B495" s="16"/>
      <c r="C495" s="99" t="s">
        <v>658</v>
      </c>
      <c r="D495" s="41">
        <f>D496</f>
        <v>962.9</v>
      </c>
      <c r="E495" s="41">
        <f t="shared" ref="E495:F495" si="152">E496</f>
        <v>0</v>
      </c>
      <c r="F495" s="41">
        <f t="shared" si="152"/>
        <v>0</v>
      </c>
    </row>
    <row r="496" spans="1:6" ht="38.25">
      <c r="A496" s="21" t="s">
        <v>657</v>
      </c>
      <c r="B496" s="82" t="s">
        <v>212</v>
      </c>
      <c r="C496" s="98" t="s">
        <v>213</v>
      </c>
      <c r="D496" s="41">
        <f>799.5+163.4</f>
        <v>962.9</v>
      </c>
      <c r="E496" s="41">
        <v>0</v>
      </c>
      <c r="F496" s="41">
        <v>0</v>
      </c>
    </row>
    <row r="497" spans="1:6" ht="55.5" customHeight="1">
      <c r="A497" s="21" t="s">
        <v>558</v>
      </c>
      <c r="B497" s="82"/>
      <c r="C497" s="98" t="s">
        <v>559</v>
      </c>
      <c r="D497" s="41">
        <f>D498</f>
        <v>0</v>
      </c>
      <c r="E497" s="41">
        <f t="shared" ref="E497:F497" si="153">E498</f>
        <v>10</v>
      </c>
      <c r="F497" s="41">
        <f t="shared" si="153"/>
        <v>10</v>
      </c>
    </row>
    <row r="498" spans="1:6" ht="38.25">
      <c r="A498" s="21" t="s">
        <v>558</v>
      </c>
      <c r="B498" s="82" t="s">
        <v>212</v>
      </c>
      <c r="C498" s="98" t="s">
        <v>213</v>
      </c>
      <c r="D498" s="41">
        <v>0</v>
      </c>
      <c r="E498" s="41">
        <v>10</v>
      </c>
      <c r="F498" s="41">
        <v>10</v>
      </c>
    </row>
    <row r="499" spans="1:6" ht="44.25" customHeight="1">
      <c r="A499" s="21" t="s">
        <v>553</v>
      </c>
      <c r="B499" s="16"/>
      <c r="C499" s="98" t="s">
        <v>740</v>
      </c>
      <c r="D499" s="41">
        <f>D500+D502</f>
        <v>12205.6</v>
      </c>
      <c r="E499" s="41">
        <f t="shared" ref="E499:F499" si="154">E500+E502</f>
        <v>4850</v>
      </c>
      <c r="F499" s="41">
        <f t="shared" si="154"/>
        <v>4850</v>
      </c>
    </row>
    <row r="500" spans="1:6" ht="31.5" customHeight="1">
      <c r="A500" s="21" t="s">
        <v>554</v>
      </c>
      <c r="B500" s="82"/>
      <c r="C500" s="98" t="s">
        <v>557</v>
      </c>
      <c r="D500" s="41">
        <f t="shared" ref="D500" si="155">D501</f>
        <v>9200</v>
      </c>
      <c r="E500" s="41">
        <f t="shared" ref="E500" si="156">E501</f>
        <v>3800</v>
      </c>
      <c r="F500" s="41">
        <f t="shared" ref="F500" si="157">F501</f>
        <v>3800</v>
      </c>
    </row>
    <row r="501" spans="1:6" ht="38.25">
      <c r="A501" s="21" t="s">
        <v>554</v>
      </c>
      <c r="B501" s="82" t="s">
        <v>212</v>
      </c>
      <c r="C501" s="98" t="s">
        <v>213</v>
      </c>
      <c r="D501" s="41">
        <v>9200</v>
      </c>
      <c r="E501" s="41">
        <v>3800</v>
      </c>
      <c r="F501" s="41">
        <v>3800</v>
      </c>
    </row>
    <row r="502" spans="1:6">
      <c r="A502" s="21" t="s">
        <v>555</v>
      </c>
      <c r="B502" s="82"/>
      <c r="C502" s="98" t="s">
        <v>556</v>
      </c>
      <c r="D502" s="41">
        <f>D503</f>
        <v>3005.6</v>
      </c>
      <c r="E502" s="41">
        <f t="shared" ref="E502:F502" si="158">E503</f>
        <v>1050</v>
      </c>
      <c r="F502" s="41">
        <f t="shared" si="158"/>
        <v>1050</v>
      </c>
    </row>
    <row r="503" spans="1:6" ht="38.25">
      <c r="A503" s="21" t="s">
        <v>555</v>
      </c>
      <c r="B503" s="82" t="s">
        <v>212</v>
      </c>
      <c r="C503" s="98" t="s">
        <v>213</v>
      </c>
      <c r="D503" s="41">
        <f>3256.7-251.1</f>
        <v>3005.6</v>
      </c>
      <c r="E503" s="41">
        <v>1050</v>
      </c>
      <c r="F503" s="41">
        <v>1050</v>
      </c>
    </row>
    <row r="504" spans="1:6" ht="77.25">
      <c r="A504" s="73" t="s">
        <v>36</v>
      </c>
      <c r="B504" s="3"/>
      <c r="C504" s="142" t="s">
        <v>624</v>
      </c>
      <c r="D504" s="59">
        <f>D505+D519</f>
        <v>42925.5</v>
      </c>
      <c r="E504" s="59">
        <f>E505+E519</f>
        <v>10567.3</v>
      </c>
      <c r="F504" s="59">
        <f>F505+F519</f>
        <v>13970.5</v>
      </c>
    </row>
    <row r="505" spans="1:6" ht="26.25">
      <c r="A505" s="52" t="s">
        <v>37</v>
      </c>
      <c r="B505" s="3"/>
      <c r="C505" s="46" t="s">
        <v>84</v>
      </c>
      <c r="D505" s="41">
        <f>D506+D511+D516</f>
        <v>39899.199999999997</v>
      </c>
      <c r="E505" s="41">
        <f>E506+E511+E516</f>
        <v>8344</v>
      </c>
      <c r="F505" s="41">
        <f>F506+F511+F516</f>
        <v>11747.199999999999</v>
      </c>
    </row>
    <row r="506" spans="1:6" ht="26.25">
      <c r="A506" s="21" t="s">
        <v>278</v>
      </c>
      <c r="B506" s="3"/>
      <c r="C506" s="104" t="s">
        <v>279</v>
      </c>
      <c r="D506" s="41">
        <f>D507+D509</f>
        <v>3431.1000000000004</v>
      </c>
      <c r="E506" s="41">
        <f t="shared" ref="E506:F506" si="159">E507+E509</f>
        <v>686.2</v>
      </c>
      <c r="F506" s="41">
        <f t="shared" si="159"/>
        <v>857.8</v>
      </c>
    </row>
    <row r="507" spans="1:6" ht="39">
      <c r="A507" s="21" t="s">
        <v>309</v>
      </c>
      <c r="B507" s="3"/>
      <c r="C507" s="128" t="s">
        <v>203</v>
      </c>
      <c r="D507" s="41">
        <f t="shared" ref="D507:F507" si="160">D508</f>
        <v>686.2</v>
      </c>
      <c r="E507" s="41">
        <f t="shared" si="160"/>
        <v>686.2</v>
      </c>
      <c r="F507" s="41">
        <f t="shared" si="160"/>
        <v>857.8</v>
      </c>
    </row>
    <row r="508" spans="1:6">
      <c r="A508" s="21" t="s">
        <v>309</v>
      </c>
      <c r="B508" s="82" t="s">
        <v>251</v>
      </c>
      <c r="C508" s="102" t="s">
        <v>250</v>
      </c>
      <c r="D508" s="41">
        <v>686.2</v>
      </c>
      <c r="E508" s="41">
        <v>686.2</v>
      </c>
      <c r="F508" s="41">
        <v>857.8</v>
      </c>
    </row>
    <row r="509" spans="1:6" ht="38.25">
      <c r="A509" s="21" t="s">
        <v>713</v>
      </c>
      <c r="B509" s="82"/>
      <c r="C509" s="124" t="s">
        <v>714</v>
      </c>
      <c r="D509" s="41">
        <f>D510</f>
        <v>2744.9</v>
      </c>
      <c r="E509" s="41">
        <f t="shared" ref="E509:F509" si="161">E510</f>
        <v>0</v>
      </c>
      <c r="F509" s="41">
        <f t="shared" si="161"/>
        <v>0</v>
      </c>
    </row>
    <row r="510" spans="1:6">
      <c r="A510" s="21" t="s">
        <v>713</v>
      </c>
      <c r="B510" s="82" t="s">
        <v>251</v>
      </c>
      <c r="C510" s="102" t="s">
        <v>250</v>
      </c>
      <c r="D510" s="41">
        <v>2744.9</v>
      </c>
      <c r="E510" s="41">
        <v>0</v>
      </c>
      <c r="F510" s="41">
        <v>0</v>
      </c>
    </row>
    <row r="511" spans="1:6" ht="76.5">
      <c r="A511" s="21" t="s">
        <v>280</v>
      </c>
      <c r="B511" s="35"/>
      <c r="C511" s="97" t="s">
        <v>598</v>
      </c>
      <c r="D511" s="39">
        <f>D512+D514</f>
        <v>22416.6</v>
      </c>
      <c r="E511" s="39">
        <f>E512+E514</f>
        <v>4803.6000000000004</v>
      </c>
      <c r="F511" s="39">
        <f>F512+F514</f>
        <v>8005.9</v>
      </c>
    </row>
    <row r="512" spans="1:6" ht="51">
      <c r="A512" s="79">
        <v>1310210820</v>
      </c>
      <c r="B512" s="16"/>
      <c r="C512" s="98" t="s">
        <v>169</v>
      </c>
      <c r="D512" s="39">
        <f>D513</f>
        <v>14410.7</v>
      </c>
      <c r="E512" s="39">
        <f>E513</f>
        <v>0</v>
      </c>
      <c r="F512" s="39">
        <f>F513</f>
        <v>0</v>
      </c>
    </row>
    <row r="513" spans="1:6">
      <c r="A513" s="79">
        <v>1310210820</v>
      </c>
      <c r="B513" s="82" t="s">
        <v>251</v>
      </c>
      <c r="C513" s="102" t="s">
        <v>250</v>
      </c>
      <c r="D513" s="39">
        <f>4803.6+9607.1</f>
        <v>14410.7</v>
      </c>
      <c r="E513" s="39">
        <v>0</v>
      </c>
      <c r="F513" s="39">
        <v>0</v>
      </c>
    </row>
    <row r="514" spans="1:6" ht="38.25">
      <c r="A514" s="79" t="s">
        <v>342</v>
      </c>
      <c r="B514" s="16"/>
      <c r="C514" s="98" t="s">
        <v>316</v>
      </c>
      <c r="D514" s="39">
        <f>D515</f>
        <v>8005.9</v>
      </c>
      <c r="E514" s="39">
        <f>E515</f>
        <v>4803.6000000000004</v>
      </c>
      <c r="F514" s="39">
        <f>F515</f>
        <v>8005.9</v>
      </c>
    </row>
    <row r="515" spans="1:6">
      <c r="A515" s="79" t="s">
        <v>342</v>
      </c>
      <c r="B515" s="82" t="s">
        <v>251</v>
      </c>
      <c r="C515" s="102" t="s">
        <v>250</v>
      </c>
      <c r="D515" s="39">
        <f>17613-9607.1</f>
        <v>8005.9</v>
      </c>
      <c r="E515" s="39">
        <v>4803.6000000000004</v>
      </c>
      <c r="F515" s="39">
        <v>8005.9</v>
      </c>
    </row>
    <row r="516" spans="1:6" ht="25.5">
      <c r="A516" s="21" t="s">
        <v>303</v>
      </c>
      <c r="B516" s="82"/>
      <c r="C516" s="104" t="s">
        <v>337</v>
      </c>
      <c r="D516" s="41">
        <f t="shared" ref="D516:F517" si="162">D517</f>
        <v>14051.5</v>
      </c>
      <c r="E516" s="41">
        <f t="shared" si="162"/>
        <v>2854.2000000000003</v>
      </c>
      <c r="F516" s="41">
        <f t="shared" si="162"/>
        <v>2883.5</v>
      </c>
    </row>
    <row r="517" spans="1:6" ht="51">
      <c r="A517" s="74" t="s">
        <v>336</v>
      </c>
      <c r="B517" s="16"/>
      <c r="C517" s="98" t="s">
        <v>323</v>
      </c>
      <c r="D517" s="94">
        <f t="shared" si="162"/>
        <v>14051.5</v>
      </c>
      <c r="E517" s="94">
        <f t="shared" si="162"/>
        <v>2854.2000000000003</v>
      </c>
      <c r="F517" s="94">
        <f t="shared" si="162"/>
        <v>2883.5</v>
      </c>
    </row>
    <row r="518" spans="1:6" ht="26.25" customHeight="1">
      <c r="A518" s="74" t="s">
        <v>336</v>
      </c>
      <c r="B518" s="82" t="s">
        <v>263</v>
      </c>
      <c r="C518" s="98" t="s">
        <v>252</v>
      </c>
      <c r="D518" s="94">
        <f>2810.3+11241.2</f>
        <v>14051.5</v>
      </c>
      <c r="E518" s="94">
        <f>2810.3+43.9</f>
        <v>2854.2000000000003</v>
      </c>
      <c r="F518" s="94">
        <v>2883.5</v>
      </c>
    </row>
    <row r="519" spans="1:6" ht="25.5">
      <c r="A519" s="52" t="s">
        <v>38</v>
      </c>
      <c r="B519" s="16"/>
      <c r="C519" s="46" t="s">
        <v>81</v>
      </c>
      <c r="D519" s="93">
        <f>D520+D523</f>
        <v>3026.3</v>
      </c>
      <c r="E519" s="93">
        <f>E520+E523</f>
        <v>2223.3000000000002</v>
      </c>
      <c r="F519" s="93">
        <f>F520+F523</f>
        <v>2223.3000000000002</v>
      </c>
    </row>
    <row r="520" spans="1:6" ht="51">
      <c r="A520" s="21" t="s">
        <v>560</v>
      </c>
      <c r="B520" s="16"/>
      <c r="C520" s="104" t="s">
        <v>304</v>
      </c>
      <c r="D520" s="41">
        <f t="shared" ref="D520:F521" si="163">D521</f>
        <v>688</v>
      </c>
      <c r="E520" s="41">
        <f t="shared" si="163"/>
        <v>638</v>
      </c>
      <c r="F520" s="41">
        <f t="shared" si="163"/>
        <v>638</v>
      </c>
    </row>
    <row r="521" spans="1:6" ht="51">
      <c r="A521" s="79">
        <v>1320127100</v>
      </c>
      <c r="B521" s="16"/>
      <c r="C521" s="98" t="s">
        <v>3</v>
      </c>
      <c r="D521" s="41">
        <f t="shared" si="163"/>
        <v>688</v>
      </c>
      <c r="E521" s="41">
        <f t="shared" si="163"/>
        <v>638</v>
      </c>
      <c r="F521" s="41">
        <f t="shared" si="163"/>
        <v>638</v>
      </c>
    </row>
    <row r="522" spans="1:6" ht="63.75">
      <c r="A522" s="79">
        <v>1320127100</v>
      </c>
      <c r="B522" s="16" t="s">
        <v>19</v>
      </c>
      <c r="C522" s="99" t="s">
        <v>367</v>
      </c>
      <c r="D522" s="41">
        <v>688</v>
      </c>
      <c r="E522" s="41">
        <v>638</v>
      </c>
      <c r="F522" s="41">
        <v>638</v>
      </c>
    </row>
    <row r="523" spans="1:6" ht="39">
      <c r="A523" s="21" t="s">
        <v>281</v>
      </c>
      <c r="B523" s="3"/>
      <c r="C523" s="104" t="s">
        <v>738</v>
      </c>
      <c r="D523" s="39">
        <f t="shared" ref="D523:F524" si="164">D524</f>
        <v>2338.3000000000002</v>
      </c>
      <c r="E523" s="39">
        <f t="shared" si="164"/>
        <v>1585.3</v>
      </c>
      <c r="F523" s="39">
        <f t="shared" si="164"/>
        <v>1585.3</v>
      </c>
    </row>
    <row r="524" spans="1:6" ht="26.25">
      <c r="A524" s="79">
        <v>1320225100</v>
      </c>
      <c r="B524" s="3"/>
      <c r="C524" s="99" t="s">
        <v>369</v>
      </c>
      <c r="D524" s="41">
        <f t="shared" si="164"/>
        <v>2338.3000000000002</v>
      </c>
      <c r="E524" s="41">
        <f t="shared" si="164"/>
        <v>1585.3</v>
      </c>
      <c r="F524" s="41">
        <f t="shared" si="164"/>
        <v>1585.3</v>
      </c>
    </row>
    <row r="525" spans="1:6" ht="25.5">
      <c r="A525" s="79">
        <v>1320225100</v>
      </c>
      <c r="B525" s="82" t="s">
        <v>282</v>
      </c>
      <c r="C525" s="98" t="s">
        <v>283</v>
      </c>
      <c r="D525" s="39">
        <f>1585.3+753</f>
        <v>2338.3000000000002</v>
      </c>
      <c r="E525" s="39">
        <v>1585.3</v>
      </c>
      <c r="F525" s="39">
        <v>1585.3</v>
      </c>
    </row>
    <row r="526" spans="1:6" ht="77.25" customHeight="1">
      <c r="A526" s="76">
        <v>1400000000</v>
      </c>
      <c r="B526" s="16"/>
      <c r="C526" s="142" t="s">
        <v>625</v>
      </c>
      <c r="D526" s="96">
        <f>D527</f>
        <v>18211.099999999999</v>
      </c>
      <c r="E526" s="96">
        <f t="shared" ref="E526:F526" si="165">E527</f>
        <v>17256.900000000001</v>
      </c>
      <c r="F526" s="96">
        <f t="shared" si="165"/>
        <v>0</v>
      </c>
    </row>
    <row r="527" spans="1:6" ht="76.5">
      <c r="A527" s="75">
        <v>1410000000</v>
      </c>
      <c r="B527" s="16"/>
      <c r="C527" s="48" t="s">
        <v>217</v>
      </c>
      <c r="D527" s="93">
        <f>D528+D533</f>
        <v>18211.099999999999</v>
      </c>
      <c r="E527" s="93">
        <f>E528+E533</f>
        <v>17256.900000000001</v>
      </c>
      <c r="F527" s="93">
        <f>F528+F533</f>
        <v>0</v>
      </c>
    </row>
    <row r="528" spans="1:6" ht="89.25">
      <c r="A528" s="74">
        <v>1410200000</v>
      </c>
      <c r="B528" s="16"/>
      <c r="C528" s="98" t="s">
        <v>370</v>
      </c>
      <c r="D528" s="41">
        <f>D529+D531</f>
        <v>8569.5</v>
      </c>
      <c r="E528" s="41">
        <f t="shared" ref="E528:F528" si="166">E529+E531</f>
        <v>5473</v>
      </c>
      <c r="F528" s="41">
        <f t="shared" si="166"/>
        <v>0</v>
      </c>
    </row>
    <row r="529" spans="1:6" ht="38.25">
      <c r="A529" s="74">
        <v>1410223125</v>
      </c>
      <c r="B529" s="82"/>
      <c r="C529" s="98" t="s">
        <v>712</v>
      </c>
      <c r="D529" s="41">
        <f>D530</f>
        <v>1289.7</v>
      </c>
      <c r="E529" s="41">
        <f>E530</f>
        <v>554.70000000000005</v>
      </c>
      <c r="F529" s="41">
        <f>F530</f>
        <v>0</v>
      </c>
    </row>
    <row r="530" spans="1:6" ht="38.25">
      <c r="A530" s="74">
        <v>1410223125</v>
      </c>
      <c r="B530" s="82" t="s">
        <v>212</v>
      </c>
      <c r="C530" s="98" t="s">
        <v>213</v>
      </c>
      <c r="D530" s="41">
        <f>1237.5+58.2-6</f>
        <v>1289.7</v>
      </c>
      <c r="E530" s="41">
        <v>554.70000000000005</v>
      </c>
      <c r="F530" s="41">
        <v>0</v>
      </c>
    </row>
    <row r="531" spans="1:6" ht="25.5">
      <c r="A531" s="74">
        <v>1410223130</v>
      </c>
      <c r="B531" s="82"/>
      <c r="C531" s="108" t="s">
        <v>715</v>
      </c>
      <c r="D531" s="41">
        <f>D532</f>
        <v>7279.8</v>
      </c>
      <c r="E531" s="41">
        <f t="shared" ref="E531:F531" si="167">E532</f>
        <v>4918.3</v>
      </c>
      <c r="F531" s="41">
        <f t="shared" si="167"/>
        <v>0</v>
      </c>
    </row>
    <row r="532" spans="1:6" ht="38.25">
      <c r="A532" s="74">
        <v>1410223130</v>
      </c>
      <c r="B532" s="82" t="s">
        <v>212</v>
      </c>
      <c r="C532" s="98" t="s">
        <v>213</v>
      </c>
      <c r="D532" s="39">
        <f>12198.1-4918.3</f>
        <v>7279.8</v>
      </c>
      <c r="E532" s="41">
        <v>4918.3</v>
      </c>
      <c r="F532" s="41">
        <v>0</v>
      </c>
    </row>
    <row r="533" spans="1:6" ht="51">
      <c r="A533" s="74" t="s">
        <v>387</v>
      </c>
      <c r="B533" s="82"/>
      <c r="C533" s="98" t="s">
        <v>388</v>
      </c>
      <c r="D533" s="41">
        <f>D534</f>
        <v>9641.6</v>
      </c>
      <c r="E533" s="41">
        <f t="shared" ref="E533:F533" si="168">E534</f>
        <v>11783.900000000001</v>
      </c>
      <c r="F533" s="41">
        <f t="shared" si="168"/>
        <v>0</v>
      </c>
    </row>
    <row r="534" spans="1:6" ht="25.5">
      <c r="A534" s="74" t="s">
        <v>356</v>
      </c>
      <c r="B534" s="16"/>
      <c r="C534" s="98" t="s">
        <v>322</v>
      </c>
      <c r="D534" s="41">
        <f>D535</f>
        <v>9641.6</v>
      </c>
      <c r="E534" s="41">
        <f>E535</f>
        <v>11783.900000000001</v>
      </c>
      <c r="F534" s="41">
        <f>F535</f>
        <v>0</v>
      </c>
    </row>
    <row r="535" spans="1:6" ht="38.25">
      <c r="A535" s="74" t="s">
        <v>356</v>
      </c>
      <c r="B535" s="82" t="s">
        <v>212</v>
      </c>
      <c r="C535" s="98" t="s">
        <v>213</v>
      </c>
      <c r="D535" s="41">
        <f>717.4+8924.2</f>
        <v>9641.6</v>
      </c>
      <c r="E535" s="41">
        <f>717.4-554.7+11621.2</f>
        <v>11783.900000000001</v>
      </c>
      <c r="F535" s="41">
        <v>0</v>
      </c>
    </row>
    <row r="536" spans="1:6" ht="116.25" customHeight="1">
      <c r="A536" s="73" t="s">
        <v>575</v>
      </c>
      <c r="B536" s="82"/>
      <c r="C536" s="142" t="s">
        <v>626</v>
      </c>
      <c r="D536" s="96">
        <f>D537</f>
        <v>2681.9</v>
      </c>
      <c r="E536" s="96">
        <f t="shared" ref="E536:F536" si="169">E537</f>
        <v>1256.3</v>
      </c>
      <c r="F536" s="96">
        <f t="shared" si="169"/>
        <v>2000</v>
      </c>
    </row>
    <row r="537" spans="1:6" ht="51">
      <c r="A537" s="141">
        <v>1510000000</v>
      </c>
      <c r="B537" s="82"/>
      <c r="C537" s="48" t="s">
        <v>368</v>
      </c>
      <c r="D537" s="41">
        <f>D538+D541</f>
        <v>2681.9</v>
      </c>
      <c r="E537" s="41">
        <f t="shared" ref="E537:F537" si="170">E538+E541</f>
        <v>1256.3</v>
      </c>
      <c r="F537" s="41">
        <f t="shared" si="170"/>
        <v>2000</v>
      </c>
    </row>
    <row r="538" spans="1:6" ht="63.75">
      <c r="A538" s="130">
        <v>1510200000</v>
      </c>
      <c r="B538" s="82"/>
      <c r="C538" s="98" t="s">
        <v>599</v>
      </c>
      <c r="D538" s="41">
        <f>D539</f>
        <v>0</v>
      </c>
      <c r="E538" s="41">
        <f t="shared" ref="E538:F539" si="171">E539</f>
        <v>0</v>
      </c>
      <c r="F538" s="41">
        <f t="shared" si="171"/>
        <v>1000</v>
      </c>
    </row>
    <row r="539" spans="1:6" ht="51">
      <c r="A539" s="130" t="s">
        <v>577</v>
      </c>
      <c r="B539" s="82"/>
      <c r="C539" s="98" t="s">
        <v>576</v>
      </c>
      <c r="D539" s="41">
        <f>D540</f>
        <v>0</v>
      </c>
      <c r="E539" s="41">
        <f t="shared" si="171"/>
        <v>0</v>
      </c>
      <c r="F539" s="41">
        <f t="shared" si="171"/>
        <v>1000</v>
      </c>
    </row>
    <row r="540" spans="1:6" ht="38.25">
      <c r="A540" s="130" t="s">
        <v>577</v>
      </c>
      <c r="B540" s="82" t="s">
        <v>212</v>
      </c>
      <c r="C540" s="98" t="s">
        <v>213</v>
      </c>
      <c r="D540" s="41">
        <f>6842-6842</f>
        <v>0</v>
      </c>
      <c r="E540" s="41">
        <v>0</v>
      </c>
      <c r="F540" s="41">
        <v>1000</v>
      </c>
    </row>
    <row r="541" spans="1:6" ht="51">
      <c r="A541" s="130">
        <v>1510300000</v>
      </c>
      <c r="B541" s="82"/>
      <c r="C541" s="98" t="s">
        <v>578</v>
      </c>
      <c r="D541" s="41">
        <f>D542+D544+D546+D548+D550+D552</f>
        <v>2681.9</v>
      </c>
      <c r="E541" s="41">
        <f t="shared" ref="E541:F541" si="172">E542+E544+E546+E548+E550</f>
        <v>1256.3</v>
      </c>
      <c r="F541" s="41">
        <f t="shared" si="172"/>
        <v>1000</v>
      </c>
    </row>
    <row r="542" spans="1:6" ht="51">
      <c r="A542" s="130" t="s">
        <v>579</v>
      </c>
      <c r="B542" s="82"/>
      <c r="C542" s="98" t="s">
        <v>576</v>
      </c>
      <c r="D542" s="41">
        <f>D543</f>
        <v>0</v>
      </c>
      <c r="E542" s="41">
        <f t="shared" ref="E542:F542" si="173">E543</f>
        <v>1256.3</v>
      </c>
      <c r="F542" s="41">
        <f t="shared" si="173"/>
        <v>1000</v>
      </c>
    </row>
    <row r="543" spans="1:6" ht="38.25">
      <c r="A543" s="130" t="s">
        <v>579</v>
      </c>
      <c r="B543" s="82" t="s">
        <v>212</v>
      </c>
      <c r="C543" s="98" t="s">
        <v>213</v>
      </c>
      <c r="D543" s="41">
        <f>3243.5-516-2727.5</f>
        <v>0</v>
      </c>
      <c r="E543" s="41">
        <v>1256.3</v>
      </c>
      <c r="F543" s="41">
        <v>1000</v>
      </c>
    </row>
    <row r="544" spans="1:6" ht="51">
      <c r="A544" s="130" t="s">
        <v>736</v>
      </c>
      <c r="B544" s="82"/>
      <c r="C544" s="164" t="s">
        <v>711</v>
      </c>
      <c r="D544" s="41">
        <f>D545</f>
        <v>516</v>
      </c>
      <c r="E544" s="41">
        <f t="shared" ref="E544:F544" si="174">E545</f>
        <v>0</v>
      </c>
      <c r="F544" s="41">
        <f t="shared" si="174"/>
        <v>0</v>
      </c>
    </row>
    <row r="545" spans="1:7" ht="38.25">
      <c r="A545" s="130" t="s">
        <v>736</v>
      </c>
      <c r="B545" s="82" t="s">
        <v>212</v>
      </c>
      <c r="C545" s="98" t="s">
        <v>213</v>
      </c>
      <c r="D545" s="41">
        <v>516</v>
      </c>
      <c r="E545" s="41">
        <v>0</v>
      </c>
      <c r="F545" s="41">
        <v>0</v>
      </c>
    </row>
    <row r="546" spans="1:7" ht="51">
      <c r="A546" s="130">
        <v>1510319022</v>
      </c>
      <c r="B546" s="82"/>
      <c r="C546" s="164" t="s">
        <v>711</v>
      </c>
      <c r="D546" s="41">
        <f>D547</f>
        <v>525.9</v>
      </c>
      <c r="E546" s="41">
        <f t="shared" ref="E546:F546" si="175">E547</f>
        <v>0</v>
      </c>
      <c r="F546" s="41">
        <f t="shared" si="175"/>
        <v>0</v>
      </c>
    </row>
    <row r="547" spans="1:7" ht="38.25">
      <c r="A547" s="130">
        <v>1510319022</v>
      </c>
      <c r="B547" s="82" t="s">
        <v>212</v>
      </c>
      <c r="C547" s="98" t="s">
        <v>213</v>
      </c>
      <c r="D547" s="41">
        <v>525.9</v>
      </c>
      <c r="E547" s="41">
        <v>0</v>
      </c>
      <c r="F547" s="41">
        <v>0</v>
      </c>
    </row>
    <row r="548" spans="1:7" ht="51">
      <c r="A548" s="130">
        <v>1510319322</v>
      </c>
      <c r="B548" s="82"/>
      <c r="C548" s="164" t="s">
        <v>711</v>
      </c>
      <c r="D548" s="41">
        <f>D549</f>
        <v>10</v>
      </c>
      <c r="E548" s="41">
        <f t="shared" ref="E548:F548" si="176">E549</f>
        <v>0</v>
      </c>
      <c r="F548" s="41">
        <f t="shared" si="176"/>
        <v>0</v>
      </c>
    </row>
    <row r="549" spans="1:7" ht="38.25">
      <c r="A549" s="130">
        <v>1510319322</v>
      </c>
      <c r="B549" s="82" t="s">
        <v>212</v>
      </c>
      <c r="C549" s="98" t="s">
        <v>213</v>
      </c>
      <c r="D549" s="41">
        <v>10</v>
      </c>
      <c r="E549" s="41">
        <v>0</v>
      </c>
      <c r="F549" s="41">
        <v>0</v>
      </c>
    </row>
    <row r="550" spans="1:7" ht="63.75">
      <c r="A550" s="130" t="s">
        <v>757</v>
      </c>
      <c r="B550" s="82"/>
      <c r="C550" s="98" t="s">
        <v>756</v>
      </c>
      <c r="D550" s="41">
        <f>D551</f>
        <v>479.6</v>
      </c>
      <c r="E550" s="41">
        <f t="shared" ref="E550:F550" si="177">E551</f>
        <v>0</v>
      </c>
      <c r="F550" s="41">
        <f t="shared" si="177"/>
        <v>0</v>
      </c>
    </row>
    <row r="551" spans="1:7" ht="38.25">
      <c r="A551" s="130" t="s">
        <v>757</v>
      </c>
      <c r="B551" s="82" t="s">
        <v>212</v>
      </c>
      <c r="C551" s="98" t="s">
        <v>213</v>
      </c>
      <c r="D551" s="41">
        <v>479.6</v>
      </c>
      <c r="E551" s="41">
        <v>0</v>
      </c>
      <c r="F551" s="41">
        <v>0</v>
      </c>
    </row>
    <row r="552" spans="1:7" ht="63.75">
      <c r="A552" s="130">
        <v>1510319023</v>
      </c>
      <c r="B552" s="82"/>
      <c r="C552" s="98" t="s">
        <v>756</v>
      </c>
      <c r="D552" s="41">
        <f>D553</f>
        <v>1150.4000000000001</v>
      </c>
      <c r="E552" s="41">
        <f t="shared" ref="E552:F552" si="178">E553</f>
        <v>0</v>
      </c>
      <c r="F552" s="41">
        <f t="shared" si="178"/>
        <v>0</v>
      </c>
    </row>
    <row r="553" spans="1:7" ht="38.25">
      <c r="A553" s="130">
        <v>1510319023</v>
      </c>
      <c r="B553" s="82" t="s">
        <v>212</v>
      </c>
      <c r="C553" s="98" t="s">
        <v>213</v>
      </c>
      <c r="D553" s="41">
        <f>1230.4-80</f>
        <v>1150.4000000000001</v>
      </c>
      <c r="E553" s="41">
        <v>0</v>
      </c>
      <c r="F553" s="41">
        <v>0</v>
      </c>
    </row>
    <row r="554" spans="1:7" ht="80.25" customHeight="1">
      <c r="A554" s="73" t="s">
        <v>228</v>
      </c>
      <c r="B554" s="16"/>
      <c r="C554" s="64" t="s">
        <v>627</v>
      </c>
      <c r="D554" s="59">
        <f t="shared" ref="D554:F554" si="179">D555</f>
        <v>7998.6</v>
      </c>
      <c r="E554" s="59">
        <f t="shared" si="179"/>
        <v>4637.8</v>
      </c>
      <c r="F554" s="59">
        <f t="shared" si="179"/>
        <v>7633.9</v>
      </c>
      <c r="G554" s="103"/>
    </row>
    <row r="555" spans="1:7" ht="38.25">
      <c r="A555" s="52" t="s">
        <v>229</v>
      </c>
      <c r="B555" s="47"/>
      <c r="C555" s="48" t="s">
        <v>230</v>
      </c>
      <c r="D555" s="93">
        <f>D556+D573</f>
        <v>7998.6</v>
      </c>
      <c r="E555" s="93">
        <f>E556+E573</f>
        <v>4637.8</v>
      </c>
      <c r="F555" s="93">
        <f>F556+F573</f>
        <v>7633.9</v>
      </c>
      <c r="G555" s="103"/>
    </row>
    <row r="556" spans="1:7" ht="38.25">
      <c r="A556" s="21" t="s">
        <v>231</v>
      </c>
      <c r="B556" s="82"/>
      <c r="C556" s="98" t="s">
        <v>232</v>
      </c>
      <c r="D556" s="41">
        <f>D557+D559+D561+D563+D565+D567+D569+D571</f>
        <v>4926.5</v>
      </c>
      <c r="E556" s="41">
        <f t="shared" ref="E556:F556" si="180">E557+E559+E561+E563+E565+E567+E569+E571</f>
        <v>0</v>
      </c>
      <c r="F556" s="41">
        <f t="shared" si="180"/>
        <v>2810.6</v>
      </c>
      <c r="G556" s="103"/>
    </row>
    <row r="557" spans="1:7" ht="38.25">
      <c r="A557" s="21" t="s">
        <v>563</v>
      </c>
      <c r="B557" s="82"/>
      <c r="C557" s="98" t="s">
        <v>346</v>
      </c>
      <c r="D557" s="41">
        <f>D558</f>
        <v>2442.6999999999998</v>
      </c>
      <c r="E557" s="41">
        <f>E558</f>
        <v>0</v>
      </c>
      <c r="F557" s="41">
        <f>F558</f>
        <v>2381.1999999999998</v>
      </c>
      <c r="G557" s="103"/>
    </row>
    <row r="558" spans="1:7" ht="38.25">
      <c r="A558" s="21" t="s">
        <v>563</v>
      </c>
      <c r="B558" s="82" t="s">
        <v>212</v>
      </c>
      <c r="C558" s="98" t="s">
        <v>213</v>
      </c>
      <c r="D558" s="41">
        <f>2972.1-529.4</f>
        <v>2442.6999999999998</v>
      </c>
      <c r="E558" s="41">
        <v>0</v>
      </c>
      <c r="F558" s="41">
        <v>2381.1999999999998</v>
      </c>
    </row>
    <row r="559" spans="1:7" ht="26.25" customHeight="1">
      <c r="A559" s="21" t="s">
        <v>565</v>
      </c>
      <c r="B559" s="82"/>
      <c r="C559" s="98" t="s">
        <v>564</v>
      </c>
      <c r="D559" s="41">
        <f>D560</f>
        <v>529.4</v>
      </c>
      <c r="E559" s="41">
        <f>E560</f>
        <v>0</v>
      </c>
      <c r="F559" s="41">
        <f>F560</f>
        <v>0</v>
      </c>
    </row>
    <row r="560" spans="1:7" ht="38.25">
      <c r="A560" s="21" t="s">
        <v>565</v>
      </c>
      <c r="B560" s="82" t="s">
        <v>212</v>
      </c>
      <c r="C560" s="98" t="s">
        <v>213</v>
      </c>
      <c r="D560" s="41">
        <v>529.4</v>
      </c>
      <c r="E560" s="41">
        <v>0</v>
      </c>
      <c r="F560" s="41">
        <v>0</v>
      </c>
    </row>
    <row r="561" spans="1:6">
      <c r="A561" s="21" t="s">
        <v>566</v>
      </c>
      <c r="B561" s="16"/>
      <c r="C561" s="98" t="s">
        <v>335</v>
      </c>
      <c r="D561" s="41">
        <f>D562</f>
        <v>385</v>
      </c>
      <c r="E561" s="41">
        <f>E562</f>
        <v>0</v>
      </c>
      <c r="F561" s="41">
        <f>F562</f>
        <v>400</v>
      </c>
    </row>
    <row r="562" spans="1:6" ht="38.25">
      <c r="A562" s="21" t="s">
        <v>566</v>
      </c>
      <c r="B562" s="82" t="s">
        <v>212</v>
      </c>
      <c r="C562" s="98" t="s">
        <v>213</v>
      </c>
      <c r="D562" s="41">
        <f>370+31-16</f>
        <v>385</v>
      </c>
      <c r="E562" s="41">
        <v>0</v>
      </c>
      <c r="F562" s="41">
        <v>400</v>
      </c>
    </row>
    <row r="563" spans="1:6" ht="38.25">
      <c r="A563" s="21" t="s">
        <v>567</v>
      </c>
      <c r="B563" s="16"/>
      <c r="C563" s="98" t="s">
        <v>364</v>
      </c>
      <c r="D563" s="94">
        <f t="shared" ref="D563:F565" si="181">D564</f>
        <v>0</v>
      </c>
      <c r="E563" s="94">
        <f t="shared" si="181"/>
        <v>0</v>
      </c>
      <c r="F563" s="94">
        <f t="shared" si="181"/>
        <v>23.4</v>
      </c>
    </row>
    <row r="564" spans="1:6" ht="38.25">
      <c r="A564" s="21" t="s">
        <v>567</v>
      </c>
      <c r="B564" s="82" t="s">
        <v>212</v>
      </c>
      <c r="C564" s="98" t="s">
        <v>213</v>
      </c>
      <c r="D564" s="41">
        <v>0</v>
      </c>
      <c r="E564" s="41">
        <v>0</v>
      </c>
      <c r="F564" s="41">
        <v>23.4</v>
      </c>
    </row>
    <row r="565" spans="1:6" ht="25.5">
      <c r="A565" s="21" t="s">
        <v>568</v>
      </c>
      <c r="B565" s="16"/>
      <c r="C565" s="98" t="s">
        <v>365</v>
      </c>
      <c r="D565" s="94">
        <f t="shared" si="181"/>
        <v>0</v>
      </c>
      <c r="E565" s="94">
        <f t="shared" si="181"/>
        <v>0</v>
      </c>
      <c r="F565" s="94">
        <f t="shared" si="181"/>
        <v>6</v>
      </c>
    </row>
    <row r="566" spans="1:6" ht="38.25">
      <c r="A566" s="21" t="s">
        <v>568</v>
      </c>
      <c r="B566" s="82" t="s">
        <v>212</v>
      </c>
      <c r="C566" s="98" t="s">
        <v>213</v>
      </c>
      <c r="D566" s="41">
        <v>0</v>
      </c>
      <c r="E566" s="41">
        <v>0</v>
      </c>
      <c r="F566" s="41">
        <v>6</v>
      </c>
    </row>
    <row r="567" spans="1:6" ht="41.25" customHeight="1">
      <c r="A567" s="21" t="s">
        <v>641</v>
      </c>
      <c r="B567" s="82"/>
      <c r="C567" s="98" t="s">
        <v>640</v>
      </c>
      <c r="D567" s="41">
        <f>D568</f>
        <v>178</v>
      </c>
      <c r="E567" s="41">
        <f t="shared" ref="E567:F567" si="182">E568</f>
        <v>0</v>
      </c>
      <c r="F567" s="41">
        <f t="shared" si="182"/>
        <v>0</v>
      </c>
    </row>
    <row r="568" spans="1:6" ht="38.25">
      <c r="A568" s="21" t="s">
        <v>641</v>
      </c>
      <c r="B568" s="82" t="s">
        <v>212</v>
      </c>
      <c r="C568" s="98" t="s">
        <v>213</v>
      </c>
      <c r="D568" s="41">
        <v>178</v>
      </c>
      <c r="E568" s="41">
        <v>0</v>
      </c>
      <c r="F568" s="41">
        <v>0</v>
      </c>
    </row>
    <row r="569" spans="1:6" ht="27.75" customHeight="1">
      <c r="A569" s="21" t="s">
        <v>643</v>
      </c>
      <c r="B569" s="82"/>
      <c r="C569" s="98" t="s">
        <v>644</v>
      </c>
      <c r="D569" s="41">
        <f>D570</f>
        <v>892.4</v>
      </c>
      <c r="E569" s="41">
        <f t="shared" ref="E569:F569" si="183">E570</f>
        <v>0</v>
      </c>
      <c r="F569" s="41">
        <f t="shared" si="183"/>
        <v>0</v>
      </c>
    </row>
    <row r="570" spans="1:6" ht="38.25">
      <c r="A570" s="21" t="s">
        <v>643</v>
      </c>
      <c r="B570" s="82" t="s">
        <v>212</v>
      </c>
      <c r="C570" s="98" t="s">
        <v>213</v>
      </c>
      <c r="D570" s="41">
        <f>990-45.4-52.2</f>
        <v>892.4</v>
      </c>
      <c r="E570" s="41">
        <v>0</v>
      </c>
      <c r="F570" s="41">
        <v>0</v>
      </c>
    </row>
    <row r="571" spans="1:6">
      <c r="A571" s="21" t="s">
        <v>697</v>
      </c>
      <c r="B571" s="82"/>
      <c r="C571" s="98" t="s">
        <v>642</v>
      </c>
      <c r="D571" s="41">
        <f>D572</f>
        <v>499</v>
      </c>
      <c r="E571" s="41">
        <f t="shared" ref="E571:F571" si="184">E572</f>
        <v>0</v>
      </c>
      <c r="F571" s="41">
        <f t="shared" si="184"/>
        <v>0</v>
      </c>
    </row>
    <row r="572" spans="1:6" ht="38.25">
      <c r="A572" s="21" t="s">
        <v>697</v>
      </c>
      <c r="B572" s="82" t="s">
        <v>212</v>
      </c>
      <c r="C572" s="98" t="s">
        <v>213</v>
      </c>
      <c r="D572" s="41">
        <f>600-98.6-2.4</f>
        <v>499</v>
      </c>
      <c r="E572" s="41">
        <v>0</v>
      </c>
      <c r="F572" s="41">
        <v>0</v>
      </c>
    </row>
    <row r="573" spans="1:6" ht="53.25" customHeight="1">
      <c r="A573" s="51" t="s">
        <v>561</v>
      </c>
      <c r="B573" s="82"/>
      <c r="C573" s="98" t="s">
        <v>562</v>
      </c>
      <c r="D573" s="41">
        <f>D574+D576</f>
        <v>3072.1</v>
      </c>
      <c r="E573" s="41">
        <f t="shared" ref="E573:F573" si="185">E574+E576</f>
        <v>4637.8</v>
      </c>
      <c r="F573" s="41">
        <f t="shared" si="185"/>
        <v>4823.3</v>
      </c>
    </row>
    <row r="574" spans="1:6" ht="38.25">
      <c r="A574" s="51" t="s">
        <v>360</v>
      </c>
      <c r="B574" s="82"/>
      <c r="C574" s="98" t="s">
        <v>357</v>
      </c>
      <c r="D574" s="41">
        <f>D575</f>
        <v>307.2</v>
      </c>
      <c r="E574" s="41">
        <f>E575</f>
        <v>927.6</v>
      </c>
      <c r="F574" s="41">
        <f>F575</f>
        <v>964.7</v>
      </c>
    </row>
    <row r="575" spans="1:6" ht="38.25">
      <c r="A575" s="51" t="s">
        <v>360</v>
      </c>
      <c r="B575" s="82" t="s">
        <v>212</v>
      </c>
      <c r="C575" s="98" t="s">
        <v>213</v>
      </c>
      <c r="D575" s="39">
        <f>891.9-495.5-89.2</f>
        <v>307.2</v>
      </c>
      <c r="E575" s="39">
        <v>927.6</v>
      </c>
      <c r="F575" s="39">
        <v>964.7</v>
      </c>
    </row>
    <row r="576" spans="1:6" ht="51">
      <c r="A576" s="51" t="s">
        <v>361</v>
      </c>
      <c r="B576" s="82"/>
      <c r="C576" s="98" t="s">
        <v>355</v>
      </c>
      <c r="D576" s="41">
        <f>D577</f>
        <v>2764.9</v>
      </c>
      <c r="E576" s="41">
        <f>E577</f>
        <v>3710.2</v>
      </c>
      <c r="F576" s="41">
        <f>F577</f>
        <v>3858.6</v>
      </c>
    </row>
    <row r="577" spans="1:9" ht="38.25">
      <c r="A577" s="51" t="s">
        <v>361</v>
      </c>
      <c r="B577" s="82" t="s">
        <v>212</v>
      </c>
      <c r="C577" s="98" t="s">
        <v>213</v>
      </c>
      <c r="D577" s="41">
        <f>3567.5-802.6</f>
        <v>2764.9</v>
      </c>
      <c r="E577" s="41">
        <v>3710.2</v>
      </c>
      <c r="F577" s="41">
        <v>3858.6</v>
      </c>
    </row>
    <row r="578" spans="1:9" ht="25.5">
      <c r="A578" s="83">
        <v>9900000000</v>
      </c>
      <c r="B578" s="73"/>
      <c r="C578" s="122" t="s">
        <v>146</v>
      </c>
      <c r="D578" s="96">
        <f>D579+D582+D594+D605+D617+D625</f>
        <v>120453.4</v>
      </c>
      <c r="E578" s="96">
        <f>E579+E582+E594+E605+E617+E625</f>
        <v>116947.4</v>
      </c>
      <c r="F578" s="96">
        <f>F579+F582+F594+F605+F617+F625</f>
        <v>115487.79999999999</v>
      </c>
    </row>
    <row r="579" spans="1:9">
      <c r="A579" s="79">
        <v>9920000000</v>
      </c>
      <c r="B579" s="73"/>
      <c r="C579" s="126" t="s">
        <v>5</v>
      </c>
      <c r="D579" s="39">
        <f t="shared" ref="D579:F579" si="186">D580</f>
        <v>300</v>
      </c>
      <c r="E579" s="39">
        <f t="shared" si="186"/>
        <v>500</v>
      </c>
      <c r="F579" s="39">
        <f t="shared" si="186"/>
        <v>500</v>
      </c>
    </row>
    <row r="580" spans="1:9" ht="16.5" customHeight="1">
      <c r="A580" s="79">
        <v>9920026100</v>
      </c>
      <c r="B580" s="21"/>
      <c r="C580" s="99" t="s">
        <v>11</v>
      </c>
      <c r="D580" s="39">
        <f>SUM(D581:D581)</f>
        <v>300</v>
      </c>
      <c r="E580" s="39">
        <f>SUM(E581:E581)</f>
        <v>500</v>
      </c>
      <c r="F580" s="39">
        <f>SUM(F581:F581)</f>
        <v>500</v>
      </c>
    </row>
    <row r="581" spans="1:9">
      <c r="A581" s="79">
        <v>9920026100</v>
      </c>
      <c r="B581" s="16" t="s">
        <v>85</v>
      </c>
      <c r="C581" s="98" t="s">
        <v>86</v>
      </c>
      <c r="D581" s="39">
        <f>500+100-300</f>
        <v>300</v>
      </c>
      <c r="E581" s="39">
        <v>500</v>
      </c>
      <c r="F581" s="39">
        <v>500</v>
      </c>
    </row>
    <row r="582" spans="1:9" ht="25.5">
      <c r="A582" s="79">
        <v>9930000000</v>
      </c>
      <c r="B582" s="16"/>
      <c r="C582" s="22" t="s">
        <v>41</v>
      </c>
      <c r="D582" s="39">
        <f>D583+D586+D589+D591</f>
        <v>1866.3000000000002</v>
      </c>
      <c r="E582" s="39">
        <f t="shared" ref="E582:F582" si="187">E583+E586+E589+E591</f>
        <v>1938.1000000000001</v>
      </c>
      <c r="F582" s="39">
        <f t="shared" si="187"/>
        <v>1943.5</v>
      </c>
    </row>
    <row r="583" spans="1:9" ht="63.75">
      <c r="A583" s="79">
        <v>9930010510</v>
      </c>
      <c r="B583" s="16"/>
      <c r="C583" s="99" t="s">
        <v>15</v>
      </c>
      <c r="D583" s="39">
        <f>D584+D585</f>
        <v>422.6</v>
      </c>
      <c r="E583" s="39">
        <f>E584+E585</f>
        <v>426.1</v>
      </c>
      <c r="F583" s="39">
        <f>F584+F585</f>
        <v>429.7</v>
      </c>
    </row>
    <row r="584" spans="1:9" ht="25.5">
      <c r="A584" s="79">
        <v>9930010510</v>
      </c>
      <c r="B584" s="16" t="s">
        <v>63</v>
      </c>
      <c r="C584" s="102" t="s">
        <v>64</v>
      </c>
      <c r="D584" s="39">
        <v>397.3</v>
      </c>
      <c r="E584" s="39">
        <v>397.3</v>
      </c>
      <c r="F584" s="39">
        <v>397.3</v>
      </c>
    </row>
    <row r="585" spans="1:9" ht="38.25">
      <c r="A585" s="79">
        <v>9930010510</v>
      </c>
      <c r="B585" s="82" t="s">
        <v>212</v>
      </c>
      <c r="C585" s="98" t="s">
        <v>213</v>
      </c>
      <c r="D585" s="39">
        <v>25.3</v>
      </c>
      <c r="E585" s="39">
        <v>28.8</v>
      </c>
      <c r="F585" s="39">
        <v>32.4</v>
      </c>
    </row>
    <row r="586" spans="1:9" ht="38.25">
      <c r="A586" s="79">
        <v>9930010540</v>
      </c>
      <c r="B586" s="16"/>
      <c r="C586" s="99" t="s">
        <v>16</v>
      </c>
      <c r="D586" s="39">
        <f>D587+D588</f>
        <v>239.6</v>
      </c>
      <c r="E586" s="39">
        <f>E587+E588</f>
        <v>241.6</v>
      </c>
      <c r="F586" s="39">
        <f>F587+F588</f>
        <v>243.7</v>
      </c>
    </row>
    <row r="587" spans="1:9" ht="25.5">
      <c r="A587" s="79">
        <v>9930010540</v>
      </c>
      <c r="B587" s="16" t="s">
        <v>63</v>
      </c>
      <c r="C587" s="102" t="s">
        <v>64</v>
      </c>
      <c r="D587" s="39">
        <v>217.7</v>
      </c>
      <c r="E587" s="39">
        <v>217.7</v>
      </c>
      <c r="F587" s="39">
        <v>217.7</v>
      </c>
    </row>
    <row r="588" spans="1:9" ht="38.25">
      <c r="A588" s="79">
        <v>9930010540</v>
      </c>
      <c r="B588" s="82" t="s">
        <v>212</v>
      </c>
      <c r="C588" s="98" t="s">
        <v>213</v>
      </c>
      <c r="D588" s="39">
        <v>21.9</v>
      </c>
      <c r="E588" s="39">
        <v>23.9</v>
      </c>
      <c r="F588" s="39">
        <v>26</v>
      </c>
    </row>
    <row r="589" spans="1:9" ht="63.75">
      <c r="A589" s="79">
        <v>9930051200</v>
      </c>
      <c r="B589" s="72"/>
      <c r="C589" s="54" t="s">
        <v>284</v>
      </c>
      <c r="D589" s="107">
        <f t="shared" ref="D589:F589" si="188">D590</f>
        <v>2.1</v>
      </c>
      <c r="E589" s="107">
        <f t="shared" si="188"/>
        <v>2.2999999999999998</v>
      </c>
      <c r="F589" s="107">
        <f t="shared" si="188"/>
        <v>2</v>
      </c>
    </row>
    <row r="590" spans="1:9" ht="38.25">
      <c r="A590" s="79">
        <v>9930051200</v>
      </c>
      <c r="B590" s="82" t="s">
        <v>212</v>
      </c>
      <c r="C590" s="98" t="s">
        <v>213</v>
      </c>
      <c r="D590" s="107">
        <v>2.1</v>
      </c>
      <c r="E590" s="107">
        <v>2.2999999999999998</v>
      </c>
      <c r="F590" s="107">
        <v>2</v>
      </c>
    </row>
    <row r="591" spans="1:9" ht="38.25" customHeight="1">
      <c r="A591" s="79">
        <v>9930059302</v>
      </c>
      <c r="B591" s="16"/>
      <c r="C591" s="99" t="s">
        <v>371</v>
      </c>
      <c r="D591" s="39">
        <f t="shared" ref="D591:E591" si="189">SUM(D592:D593)</f>
        <v>1202</v>
      </c>
      <c r="E591" s="39">
        <f t="shared" si="189"/>
        <v>1268.1000000000001</v>
      </c>
      <c r="F591" s="39">
        <f t="shared" ref="F591" si="190">SUM(F592:F593)</f>
        <v>1268.1000000000001</v>
      </c>
    </row>
    <row r="592" spans="1:9" ht="25.5">
      <c r="A592" s="79">
        <v>9930059302</v>
      </c>
      <c r="B592" s="16" t="s">
        <v>63</v>
      </c>
      <c r="C592" s="55" t="s">
        <v>64</v>
      </c>
      <c r="D592" s="39">
        <f>1136.9+3</f>
        <v>1139.9000000000001</v>
      </c>
      <c r="E592" s="39">
        <v>1136.9000000000001</v>
      </c>
      <c r="F592" s="39">
        <v>1136.9000000000001</v>
      </c>
      <c r="I592" s="103"/>
    </row>
    <row r="593" spans="1:6" ht="38.25">
      <c r="A593" s="79">
        <v>9930059302</v>
      </c>
      <c r="B593" s="82" t="s">
        <v>212</v>
      </c>
      <c r="C593" s="98" t="s">
        <v>213</v>
      </c>
      <c r="D593" s="39">
        <f>65.1-3</f>
        <v>62.099999999999994</v>
      </c>
      <c r="E593" s="39">
        <v>131.19999999999999</v>
      </c>
      <c r="F593" s="39">
        <v>131.19999999999999</v>
      </c>
    </row>
    <row r="594" spans="1:6" ht="25.5">
      <c r="A594" s="16" t="s">
        <v>25</v>
      </c>
      <c r="B594" s="16"/>
      <c r="C594" s="99" t="s">
        <v>39</v>
      </c>
      <c r="D594" s="39">
        <f>D595+D597+D601+D603</f>
        <v>5628.7</v>
      </c>
      <c r="E594" s="39">
        <f t="shared" ref="E594:F594" si="191">E595+E597+E601+E603</f>
        <v>1295</v>
      </c>
      <c r="F594" s="39">
        <f t="shared" si="191"/>
        <v>1270</v>
      </c>
    </row>
    <row r="595" spans="1:6" ht="38.25">
      <c r="A595" s="82" t="s">
        <v>607</v>
      </c>
      <c r="B595" s="16"/>
      <c r="C595" s="54" t="s">
        <v>605</v>
      </c>
      <c r="D595" s="41">
        <f>SUM(D596:D596)</f>
        <v>510</v>
      </c>
      <c r="E595" s="41">
        <f>SUM(E596:E596)</f>
        <v>0</v>
      </c>
      <c r="F595" s="41">
        <f>SUM(F596:F596)</f>
        <v>0</v>
      </c>
    </row>
    <row r="596" spans="1:6">
      <c r="A596" s="82" t="s">
        <v>607</v>
      </c>
      <c r="B596" s="21" t="s">
        <v>226</v>
      </c>
      <c r="C596" s="98" t="s">
        <v>225</v>
      </c>
      <c r="D596" s="39">
        <f>45+70+150+195+50</f>
        <v>510</v>
      </c>
      <c r="E596" s="39">
        <v>0</v>
      </c>
      <c r="F596" s="39">
        <v>0</v>
      </c>
    </row>
    <row r="597" spans="1:6" ht="25.5">
      <c r="A597" s="82" t="s">
        <v>569</v>
      </c>
      <c r="B597" s="16"/>
      <c r="C597" s="22" t="s">
        <v>40</v>
      </c>
      <c r="D597" s="39">
        <f>SUM(D598:D600)</f>
        <v>4803.7</v>
      </c>
      <c r="E597" s="39">
        <f>SUM(E598:E600)</f>
        <v>1270</v>
      </c>
      <c r="F597" s="39">
        <f>SUM(F598:F600)</f>
        <v>1270</v>
      </c>
    </row>
    <row r="598" spans="1:6" ht="38.25">
      <c r="A598" s="82" t="s">
        <v>569</v>
      </c>
      <c r="B598" s="82" t="s">
        <v>212</v>
      </c>
      <c r="C598" s="98" t="s">
        <v>213</v>
      </c>
      <c r="D598" s="39">
        <f>242+70</f>
        <v>312</v>
      </c>
      <c r="E598" s="39">
        <v>242</v>
      </c>
      <c r="F598" s="39">
        <v>242</v>
      </c>
    </row>
    <row r="599" spans="1:6">
      <c r="A599" s="82" t="s">
        <v>569</v>
      </c>
      <c r="B599" s="16" t="s">
        <v>82</v>
      </c>
      <c r="C599" s="98" t="s">
        <v>83</v>
      </c>
      <c r="D599" s="39">
        <v>426</v>
      </c>
      <c r="E599" s="39">
        <v>426</v>
      </c>
      <c r="F599" s="39">
        <v>426</v>
      </c>
    </row>
    <row r="600" spans="1:6">
      <c r="A600" s="82" t="s">
        <v>569</v>
      </c>
      <c r="B600" s="82" t="s">
        <v>132</v>
      </c>
      <c r="C600" s="98" t="s">
        <v>133</v>
      </c>
      <c r="D600" s="39">
        <f>602+893.7+210+90+100+350+1700+120</f>
        <v>4065.7</v>
      </c>
      <c r="E600" s="39">
        <v>602</v>
      </c>
      <c r="F600" s="39">
        <v>602</v>
      </c>
    </row>
    <row r="601" spans="1:6" ht="25.5">
      <c r="A601" s="144">
        <v>9940026500</v>
      </c>
      <c r="B601" s="1"/>
      <c r="C601" s="99" t="s">
        <v>648</v>
      </c>
      <c r="D601" s="39">
        <f>D602</f>
        <v>25</v>
      </c>
      <c r="E601" s="39">
        <f t="shared" ref="E601:F601" si="192">E602</f>
        <v>25</v>
      </c>
      <c r="F601" s="39">
        <f t="shared" si="192"/>
        <v>0</v>
      </c>
    </row>
    <row r="602" spans="1:6">
      <c r="A602" s="144">
        <v>9940026500</v>
      </c>
      <c r="B602" s="82" t="s">
        <v>649</v>
      </c>
      <c r="C602" s="1" t="s">
        <v>650</v>
      </c>
      <c r="D602" s="39">
        <f>20.8+4.2</f>
        <v>25</v>
      </c>
      <c r="E602" s="39">
        <f>20.8+4.2</f>
        <v>25</v>
      </c>
      <c r="F602" s="39">
        <v>0</v>
      </c>
    </row>
    <row r="603" spans="1:6" ht="38.25">
      <c r="A603" s="82" t="s">
        <v>606</v>
      </c>
      <c r="B603" s="16"/>
      <c r="C603" s="54" t="s">
        <v>605</v>
      </c>
      <c r="D603" s="41">
        <f>SUM(D604:D604)</f>
        <v>290</v>
      </c>
      <c r="E603" s="41">
        <f>SUM(E604:E604)</f>
        <v>0</v>
      </c>
      <c r="F603" s="41">
        <f>SUM(F604:F604)</f>
        <v>0</v>
      </c>
    </row>
    <row r="604" spans="1:6" ht="38.25">
      <c r="A604" s="82" t="s">
        <v>606</v>
      </c>
      <c r="B604" s="82" t="s">
        <v>212</v>
      </c>
      <c r="C604" s="98" t="s">
        <v>213</v>
      </c>
      <c r="D604" s="39">
        <f>50+240</f>
        <v>290</v>
      </c>
      <c r="E604" s="39">
        <v>0</v>
      </c>
      <c r="F604" s="39">
        <v>0</v>
      </c>
    </row>
    <row r="605" spans="1:6">
      <c r="A605" s="82" t="s">
        <v>195</v>
      </c>
      <c r="B605" s="82"/>
      <c r="C605" s="98" t="s">
        <v>288</v>
      </c>
      <c r="D605" s="39">
        <f>D606+D610+D613</f>
        <v>41837.299999999996</v>
      </c>
      <c r="E605" s="39">
        <f>E606+E610+E613</f>
        <v>42118.400000000001</v>
      </c>
      <c r="F605" s="39">
        <f>F606+F610+F613</f>
        <v>40678.400000000001</v>
      </c>
    </row>
    <row r="606" spans="1:6" ht="51" customHeight="1">
      <c r="A606" s="21" t="s">
        <v>570</v>
      </c>
      <c r="B606" s="47"/>
      <c r="C606" s="54" t="s">
        <v>574</v>
      </c>
      <c r="D606" s="41">
        <f>SUM(D607:D609)</f>
        <v>6011.5</v>
      </c>
      <c r="E606" s="41">
        <f t="shared" ref="E606:F606" si="193">SUM(E607:E609)</f>
        <v>6011.5</v>
      </c>
      <c r="F606" s="41">
        <f t="shared" si="193"/>
        <v>6011.5</v>
      </c>
    </row>
    <row r="607" spans="1:6" ht="25.5">
      <c r="A607" s="21" t="s">
        <v>570</v>
      </c>
      <c r="B607" s="16" t="s">
        <v>65</v>
      </c>
      <c r="C607" s="102" t="s">
        <v>131</v>
      </c>
      <c r="D607" s="41">
        <f>4638.4+525</f>
        <v>5163.3999999999996</v>
      </c>
      <c r="E607" s="41">
        <f>4638.4+525</f>
        <v>5163.3999999999996</v>
      </c>
      <c r="F607" s="41">
        <f>4638.4+525</f>
        <v>5163.3999999999996</v>
      </c>
    </row>
    <row r="608" spans="1:6" ht="38.25">
      <c r="A608" s="21" t="s">
        <v>570</v>
      </c>
      <c r="B608" s="82" t="s">
        <v>212</v>
      </c>
      <c r="C608" s="98" t="s">
        <v>213</v>
      </c>
      <c r="D608" s="41">
        <v>843.1</v>
      </c>
      <c r="E608" s="41">
        <v>843.1</v>
      </c>
      <c r="F608" s="41">
        <v>843.1</v>
      </c>
    </row>
    <row r="609" spans="1:6">
      <c r="A609" s="21" t="s">
        <v>570</v>
      </c>
      <c r="B609" s="82" t="s">
        <v>132</v>
      </c>
      <c r="C609" s="98" t="s">
        <v>133</v>
      </c>
      <c r="D609" s="41">
        <v>5</v>
      </c>
      <c r="E609" s="41">
        <v>5</v>
      </c>
      <c r="F609" s="41">
        <v>5</v>
      </c>
    </row>
    <row r="610" spans="1:6" ht="38.25">
      <c r="A610" s="21" t="s">
        <v>571</v>
      </c>
      <c r="B610" s="47"/>
      <c r="C610" s="54" t="s">
        <v>287</v>
      </c>
      <c r="D610" s="41">
        <f>SUM(D611:D612)</f>
        <v>9986.7999999999993</v>
      </c>
      <c r="E610" s="41">
        <f>SUM(E611:E612)</f>
        <v>9871.1</v>
      </c>
      <c r="F610" s="41">
        <f>SUM(F611:F612)</f>
        <v>9871.1</v>
      </c>
    </row>
    <row r="611" spans="1:6" ht="25.5">
      <c r="A611" s="21" t="s">
        <v>571</v>
      </c>
      <c r="B611" s="16" t="s">
        <v>65</v>
      </c>
      <c r="C611" s="102" t="s">
        <v>131</v>
      </c>
      <c r="D611" s="39">
        <f>9107.9+115.8</f>
        <v>9223.6999999999989</v>
      </c>
      <c r="E611" s="41">
        <f>8277.8+830.2</f>
        <v>9108</v>
      </c>
      <c r="F611" s="41">
        <f>8277.8+830.2</f>
        <v>9108</v>
      </c>
    </row>
    <row r="612" spans="1:6" ht="38.25">
      <c r="A612" s="21" t="s">
        <v>571</v>
      </c>
      <c r="B612" s="82" t="s">
        <v>212</v>
      </c>
      <c r="C612" s="98" t="s">
        <v>213</v>
      </c>
      <c r="D612" s="41">
        <v>763.1</v>
      </c>
      <c r="E612" s="41">
        <v>763.1</v>
      </c>
      <c r="F612" s="41">
        <v>763.1</v>
      </c>
    </row>
    <row r="613" spans="1:6" ht="56.25" customHeight="1">
      <c r="A613" s="21" t="s">
        <v>573</v>
      </c>
      <c r="B613" s="47"/>
      <c r="C613" s="54" t="s">
        <v>572</v>
      </c>
      <c r="D613" s="41">
        <f>SUM(D614:D616)</f>
        <v>25838.999999999996</v>
      </c>
      <c r="E613" s="41">
        <f>SUM(E614:E616)</f>
        <v>26235.8</v>
      </c>
      <c r="F613" s="41">
        <f>SUM(F614:F616)</f>
        <v>24795.8</v>
      </c>
    </row>
    <row r="614" spans="1:6" ht="25.5">
      <c r="A614" s="21" t="s">
        <v>573</v>
      </c>
      <c r="B614" s="16" t="s">
        <v>65</v>
      </c>
      <c r="C614" s="102" t="s">
        <v>131</v>
      </c>
      <c r="D614" s="41">
        <f>9754.4+975.4-235</f>
        <v>10494.8</v>
      </c>
      <c r="E614" s="41">
        <f>9754.4+975.4</f>
        <v>10729.8</v>
      </c>
      <c r="F614" s="41">
        <f>9754.4+975.4</f>
        <v>10729.8</v>
      </c>
    </row>
    <row r="615" spans="1:6" ht="38.25">
      <c r="A615" s="21" t="s">
        <v>573</v>
      </c>
      <c r="B615" s="82" t="s">
        <v>212</v>
      </c>
      <c r="C615" s="98" t="s">
        <v>213</v>
      </c>
      <c r="D615" s="41">
        <v>15223.4</v>
      </c>
      <c r="E615" s="41">
        <v>15385.2</v>
      </c>
      <c r="F615" s="41">
        <v>13945.2</v>
      </c>
    </row>
    <row r="616" spans="1:6">
      <c r="A616" s="21" t="s">
        <v>573</v>
      </c>
      <c r="B616" s="82" t="s">
        <v>132</v>
      </c>
      <c r="C616" s="98" t="s">
        <v>133</v>
      </c>
      <c r="D616" s="107">
        <v>120.8</v>
      </c>
      <c r="E616" s="107">
        <v>120.8</v>
      </c>
      <c r="F616" s="107">
        <v>120.8</v>
      </c>
    </row>
    <row r="617" spans="1:6" ht="38.25">
      <c r="A617" s="105">
        <v>9980000000</v>
      </c>
      <c r="B617" s="106"/>
      <c r="C617" s="98" t="s">
        <v>30</v>
      </c>
      <c r="D617" s="107">
        <f>D618+D620</f>
        <v>64840.099999999991</v>
      </c>
      <c r="E617" s="107">
        <f t="shared" ref="E617:F617" si="194">E618+E620</f>
        <v>65139.5</v>
      </c>
      <c r="F617" s="107">
        <f t="shared" si="194"/>
        <v>65139.5</v>
      </c>
    </row>
    <row r="618" spans="1:6">
      <c r="A618" s="79">
        <v>9980022100</v>
      </c>
      <c r="B618" s="16"/>
      <c r="C618" s="22" t="s">
        <v>115</v>
      </c>
      <c r="D618" s="39">
        <f>D619</f>
        <v>2367.1</v>
      </c>
      <c r="E618" s="39">
        <f t="shared" ref="E618:F618" si="195">E619</f>
        <v>1902</v>
      </c>
      <c r="F618" s="39">
        <f t="shared" si="195"/>
        <v>1902</v>
      </c>
    </row>
    <row r="619" spans="1:6" ht="25.5">
      <c r="A619" s="79">
        <v>9980022100</v>
      </c>
      <c r="B619" s="16" t="s">
        <v>63</v>
      </c>
      <c r="C619" s="99" t="s">
        <v>79</v>
      </c>
      <c r="D619" s="39">
        <f>1717-118.6+439.5+171.7+157.5-439.5-171.7+171.7+439.5</f>
        <v>2367.1</v>
      </c>
      <c r="E619" s="39">
        <f>1717-118.6+303.6</f>
        <v>1902</v>
      </c>
      <c r="F619" s="39">
        <f>1717-118.6+303.6</f>
        <v>1902</v>
      </c>
    </row>
    <row r="620" spans="1:6">
      <c r="A620" s="139">
        <v>9980022200</v>
      </c>
      <c r="B620" s="21"/>
      <c r="C620" s="22" t="s">
        <v>116</v>
      </c>
      <c r="D620" s="39">
        <f>SUM(D621:D624)</f>
        <v>62472.999999999993</v>
      </c>
      <c r="E620" s="39">
        <f t="shared" ref="E620:F620" si="196">SUM(E621:E624)</f>
        <v>63237.5</v>
      </c>
      <c r="F620" s="39">
        <f t="shared" si="196"/>
        <v>63237.5</v>
      </c>
    </row>
    <row r="621" spans="1:6" ht="25.5">
      <c r="A621" s="139">
        <v>9980022200</v>
      </c>
      <c r="B621" s="16" t="s">
        <v>63</v>
      </c>
      <c r="C621" s="55" t="s">
        <v>64</v>
      </c>
      <c r="D621" s="39">
        <f>9404.1+44902+375.4+64.1+940.4+4548.2-375.4+383-64.1+56.5-100-350+48.6-120-463.3+99+81</f>
        <v>59429.499999999993</v>
      </c>
      <c r="E621" s="39">
        <f>9404.1+44902+940.5+4548.2</f>
        <v>59794.799999999996</v>
      </c>
      <c r="F621" s="39">
        <f>9404.1+44902+940.5+4548.2</f>
        <v>59794.799999999996</v>
      </c>
    </row>
    <row r="622" spans="1:6" ht="38.25">
      <c r="A622" s="139">
        <v>9980022200</v>
      </c>
      <c r="B622" s="82" t="s">
        <v>212</v>
      </c>
      <c r="C622" s="98" t="s">
        <v>213</v>
      </c>
      <c r="D622" s="39">
        <f>468.9+2929.4-90-80.4-70-3-48.6-81</f>
        <v>3025.3</v>
      </c>
      <c r="E622" s="39">
        <f t="shared" ref="E622:F622" si="197">468.9+2929.4</f>
        <v>3398.3</v>
      </c>
      <c r="F622" s="39">
        <f t="shared" si="197"/>
        <v>3398.3</v>
      </c>
    </row>
    <row r="623" spans="1:6">
      <c r="A623" s="139">
        <v>9980022200</v>
      </c>
      <c r="B623" s="82" t="s">
        <v>716</v>
      </c>
      <c r="C623" s="98" t="s">
        <v>717</v>
      </c>
      <c r="D623" s="39">
        <v>3</v>
      </c>
      <c r="E623" s="39">
        <v>0</v>
      </c>
      <c r="F623" s="39">
        <v>0</v>
      </c>
    </row>
    <row r="624" spans="1:6">
      <c r="A624" s="139">
        <v>9980022200</v>
      </c>
      <c r="B624" s="82" t="s">
        <v>132</v>
      </c>
      <c r="C624" s="98" t="s">
        <v>133</v>
      </c>
      <c r="D624" s="41">
        <f>44.4-29.2</f>
        <v>15.2</v>
      </c>
      <c r="E624" s="41">
        <v>44.4</v>
      </c>
      <c r="F624" s="41">
        <v>44.4</v>
      </c>
    </row>
    <row r="625" spans="1:6" s="32" customFormat="1" ht="38.25">
      <c r="A625" s="79">
        <v>9990000000</v>
      </c>
      <c r="B625" s="16"/>
      <c r="C625" s="54" t="s">
        <v>29</v>
      </c>
      <c r="D625" s="41">
        <f>D626+D628+D631</f>
        <v>5981</v>
      </c>
      <c r="E625" s="41">
        <f>E626+E628+E631</f>
        <v>5956.4000000000005</v>
      </c>
      <c r="F625" s="41">
        <f>F626+F628+F631</f>
        <v>5956.4000000000005</v>
      </c>
    </row>
    <row r="626" spans="1:6" s="32" customFormat="1" ht="14.25">
      <c r="A626" s="79">
        <v>9990022400</v>
      </c>
      <c r="B626" s="16"/>
      <c r="C626" s="98" t="s">
        <v>140</v>
      </c>
      <c r="D626" s="41">
        <f t="shared" ref="D626:F626" si="198">D627</f>
        <v>1522.8</v>
      </c>
      <c r="E626" s="41">
        <f t="shared" si="198"/>
        <v>1502.5</v>
      </c>
      <c r="F626" s="41">
        <f t="shared" si="198"/>
        <v>1502.5</v>
      </c>
    </row>
    <row r="627" spans="1:6" s="32" customFormat="1" ht="25.5">
      <c r="A627" s="79">
        <v>9990022400</v>
      </c>
      <c r="B627" s="16" t="s">
        <v>63</v>
      </c>
      <c r="C627" s="55" t="s">
        <v>64</v>
      </c>
      <c r="D627" s="39">
        <f>1365.9+136.6+20.3-156.9+156.9</f>
        <v>1522.8</v>
      </c>
      <c r="E627" s="39">
        <f>1365.9+136.6</f>
        <v>1502.5</v>
      </c>
      <c r="F627" s="39">
        <f>1365.9+136.6</f>
        <v>1502.5</v>
      </c>
    </row>
    <row r="628" spans="1:6" s="32" customFormat="1" ht="25.5">
      <c r="A628" s="79">
        <v>9990022500</v>
      </c>
      <c r="B628" s="21"/>
      <c r="C628" s="99" t="s">
        <v>628</v>
      </c>
      <c r="D628" s="41">
        <f>SUM(D629:D630)</f>
        <v>2617.8000000000002</v>
      </c>
      <c r="E628" s="41">
        <f t="shared" ref="E628:F628" si="199">SUM(E629:E630)</f>
        <v>2617.8000000000002</v>
      </c>
      <c r="F628" s="41">
        <f t="shared" si="199"/>
        <v>2617.8000000000002</v>
      </c>
    </row>
    <row r="629" spans="1:6" s="32" customFormat="1" ht="25.5">
      <c r="A629" s="79">
        <v>9990022500</v>
      </c>
      <c r="B629" s="16" t="s">
        <v>63</v>
      </c>
      <c r="C629" s="55" t="s">
        <v>64</v>
      </c>
      <c r="D629" s="39">
        <f>2356.8+154.9</f>
        <v>2511.7000000000003</v>
      </c>
      <c r="E629" s="39">
        <f>2356.8+154.9</f>
        <v>2511.7000000000003</v>
      </c>
      <c r="F629" s="39">
        <f>2356.8+154.9</f>
        <v>2511.7000000000003</v>
      </c>
    </row>
    <row r="630" spans="1:6" s="32" customFormat="1" ht="38.25">
      <c r="A630" s="79">
        <v>9990022500</v>
      </c>
      <c r="B630" s="82" t="s">
        <v>212</v>
      </c>
      <c r="C630" s="98" t="s">
        <v>213</v>
      </c>
      <c r="D630" s="39">
        <v>106.1</v>
      </c>
      <c r="E630" s="39">
        <v>106.1</v>
      </c>
      <c r="F630" s="39">
        <v>106.1</v>
      </c>
    </row>
    <row r="631" spans="1:6" s="32" customFormat="1" ht="25.5">
      <c r="A631" s="79">
        <v>9990022300</v>
      </c>
      <c r="B631" s="21"/>
      <c r="C631" s="99" t="s">
        <v>201</v>
      </c>
      <c r="D631" s="41">
        <f>D632+D633</f>
        <v>1840.4</v>
      </c>
      <c r="E631" s="41">
        <f>E632+E633</f>
        <v>1836.1000000000001</v>
      </c>
      <c r="F631" s="41">
        <f>F632+F633</f>
        <v>1836.1000000000001</v>
      </c>
    </row>
    <row r="632" spans="1:6" s="32" customFormat="1" ht="25.5">
      <c r="A632" s="79">
        <v>9990022300</v>
      </c>
      <c r="B632" s="16" t="s">
        <v>63</v>
      </c>
      <c r="C632" s="99" t="s">
        <v>79</v>
      </c>
      <c r="D632" s="39">
        <f>1668.4+164.2+16.3-109.5+109.5-12-17.8</f>
        <v>1819.1000000000001</v>
      </c>
      <c r="E632" s="39">
        <f>1668.4+164.2</f>
        <v>1832.6000000000001</v>
      </c>
      <c r="F632" s="39">
        <f>1668.4+164.2</f>
        <v>1832.6000000000001</v>
      </c>
    </row>
    <row r="633" spans="1:6" s="32" customFormat="1" ht="38.25">
      <c r="A633" s="79">
        <v>9990022300</v>
      </c>
      <c r="B633" s="82" t="s">
        <v>212</v>
      </c>
      <c r="C633" s="98" t="s">
        <v>213</v>
      </c>
      <c r="D633" s="39">
        <f>3.5+17.8</f>
        <v>21.3</v>
      </c>
      <c r="E633" s="39">
        <v>3.5</v>
      </c>
      <c r="F633"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2023-12-22T06:56:11Z</cp:lastPrinted>
  <dcterms:created xsi:type="dcterms:W3CDTF">2007-02-27T13:35:41Z</dcterms:created>
  <dcterms:modified xsi:type="dcterms:W3CDTF">2023-12-22T07:01:39Z</dcterms:modified>
</cp:coreProperties>
</file>